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ias\Desktop\aaaTodos Área de Trabalho Pastas\Regime especial FEED PB\"/>
    </mc:Choice>
  </mc:AlternateContent>
  <bookViews>
    <workbookView xWindow="0" yWindow="0" windowWidth="8980" windowHeight="4150" firstSheet="7" activeTab="7"/>
  </bookViews>
  <sheets>
    <sheet name="Entrada BA" sheetId="1" r:id="rId1"/>
    <sheet name="Entrada PB" sheetId="3" r:id="rId2"/>
    <sheet name="Entrada MG" sheetId="2" r:id="rId3"/>
    <sheet name="Entrada PE I" sheetId="5" r:id="rId4"/>
    <sheet name="Saída PE" sheetId="7" r:id="rId5"/>
    <sheet name="Saída PE II" sheetId="8" r:id="rId6"/>
    <sheet name="Saída PB" sheetId="9" r:id="rId7"/>
    <sheet name="FEEF" sheetId="16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4" i="16" l="1"/>
  <c r="AI3" i="16"/>
  <c r="AK3" i="16"/>
  <c r="AI2" i="16" l="1"/>
  <c r="AJ2" i="16"/>
  <c r="AK2" i="16"/>
  <c r="AM2" i="16"/>
  <c r="AN2" i="16" s="1"/>
  <c r="AL2" i="16"/>
  <c r="AJ2" i="1" l="1"/>
  <c r="AI2" i="1"/>
  <c r="AC11" i="2" l="1"/>
  <c r="AD11" i="2" s="1"/>
  <c r="AB11" i="2"/>
  <c r="Z11" i="2"/>
  <c r="AC10" i="2"/>
  <c r="AD10" i="2" s="1"/>
  <c r="Z10" i="2"/>
  <c r="AB10" i="2" s="1"/>
  <c r="V2" i="3" l="1"/>
  <c r="AH2" i="1"/>
  <c r="AJ5" i="9" l="1"/>
  <c r="AL4" i="16"/>
  <c r="AJ4" i="16"/>
  <c r="AK4" i="16" s="1"/>
  <c r="AG4" i="16"/>
  <c r="AJ3" i="16"/>
  <c r="AG3" i="16"/>
  <c r="AG2" i="16"/>
  <c r="AL3" i="16" l="1"/>
  <c r="AM3" i="16" s="1"/>
  <c r="AN3" i="16" s="1"/>
  <c r="AM4" i="16"/>
  <c r="AN4" i="16" s="1"/>
  <c r="AI4" i="9" l="1"/>
  <c r="AE4" i="9"/>
  <c r="AG4" i="9" s="1"/>
  <c r="AJ4" i="9" s="1"/>
  <c r="AI3" i="9"/>
  <c r="AE3" i="9"/>
  <c r="AG3" i="9" s="1"/>
  <c r="AJ3" i="9" s="1"/>
  <c r="AJ2" i="9"/>
  <c r="AI2" i="9"/>
  <c r="AG2" i="9"/>
  <c r="AE2" i="9"/>
  <c r="AL3" i="3" l="1"/>
  <c r="AL2" i="3"/>
  <c r="AJ3" i="3"/>
  <c r="AJ2" i="3"/>
  <c r="V3" i="3"/>
  <c r="AE4" i="8"/>
  <c r="AB4" i="8"/>
  <c r="AG4" i="8" s="1"/>
  <c r="Y4" i="8"/>
  <c r="AE3" i="8"/>
  <c r="Y3" i="8"/>
  <c r="AB3" i="8" s="1"/>
  <c r="AG2" i="8"/>
  <c r="AE2" i="8"/>
  <c r="AB2" i="8"/>
  <c r="Y2" i="8"/>
  <c r="AF4" i="5"/>
  <c r="AH4" i="5" s="1"/>
  <c r="AF3" i="5"/>
  <c r="AH3" i="5" s="1"/>
  <c r="AF2" i="5"/>
  <c r="AH2" i="5" s="1"/>
  <c r="AD4" i="7"/>
  <c r="X4" i="7"/>
  <c r="AA4" i="7" s="1"/>
  <c r="AD3" i="7"/>
  <c r="X3" i="7"/>
  <c r="AA3" i="7" s="1"/>
  <c r="AD2" i="7"/>
  <c r="X2" i="7"/>
  <c r="AA2" i="7" s="1"/>
  <c r="AG3" i="8" l="1"/>
  <c r="AF2" i="7"/>
  <c r="AF3" i="7"/>
  <c r="AF4" i="7"/>
  <c r="AM4" i="1" l="1"/>
  <c r="AO4" i="1" s="1"/>
  <c r="AJ4" i="1"/>
  <c r="AL4" i="1" s="1"/>
  <c r="AE4" i="1"/>
  <c r="AH4" i="1" s="1"/>
  <c r="AI4" i="1" s="1"/>
  <c r="AM3" i="1"/>
  <c r="AO3" i="1" s="1"/>
  <c r="AJ3" i="1"/>
  <c r="AL3" i="1" s="1"/>
  <c r="AE3" i="1"/>
  <c r="AH3" i="1" s="1"/>
  <c r="AI3" i="1" s="1"/>
  <c r="AM2" i="1"/>
  <c r="AO2" i="1" s="1"/>
  <c r="AL2" i="1"/>
  <c r="AE2" i="1"/>
  <c r="AE4" i="2"/>
  <c r="AG4" i="2" s="1"/>
  <c r="AE3" i="2"/>
  <c r="AG3" i="2" s="1"/>
  <c r="AE2" i="2"/>
  <c r="AG2" i="2" s="1"/>
  <c r="AP3" i="1" l="1"/>
  <c r="AP2" i="1"/>
  <c r="AP4" i="1"/>
</calcChain>
</file>

<file path=xl/sharedStrings.xml><?xml version="1.0" encoding="utf-8"?>
<sst xmlns="http://schemas.openxmlformats.org/spreadsheetml/2006/main" count="704" uniqueCount="254">
  <si>
    <t>Número Título</t>
  </si>
  <si>
    <t>Operação</t>
  </si>
  <si>
    <t>Situação</t>
  </si>
  <si>
    <t>Data de Emissão</t>
  </si>
  <si>
    <t>Data de Entrada</t>
  </si>
  <si>
    <t>Código Cliente</t>
  </si>
  <si>
    <t>Razão Cliente</t>
  </si>
  <si>
    <t>CNPJ</t>
  </si>
  <si>
    <t>UF</t>
  </si>
  <si>
    <t>Chave de Acesso</t>
  </si>
  <si>
    <t>Cdigo Produto</t>
  </si>
  <si>
    <t>Descrição do Produto</t>
  </si>
  <si>
    <t>EAN</t>
  </si>
  <si>
    <t>NCM</t>
  </si>
  <si>
    <t>Lista</t>
  </si>
  <si>
    <t>Grupo</t>
  </si>
  <si>
    <t>CFOP</t>
  </si>
  <si>
    <t>Genérico</t>
  </si>
  <si>
    <t>Quantidade</t>
  </si>
  <si>
    <t>Valor Unitário</t>
  </si>
  <si>
    <t>Valor Total</t>
  </si>
  <si>
    <t>IPI</t>
  </si>
  <si>
    <t>% IPI</t>
  </si>
  <si>
    <t>DA</t>
  </si>
  <si>
    <t>Frete</t>
  </si>
  <si>
    <t>Base de Cálculo ICMS</t>
  </si>
  <si>
    <t>Aliquota de ICMS</t>
  </si>
  <si>
    <t>% Red Base ICMS</t>
  </si>
  <si>
    <t>Valor ICMS</t>
  </si>
  <si>
    <t>PMC</t>
  </si>
  <si>
    <t>MVA</t>
  </si>
  <si>
    <t>Base de Cálculo ST Retido</t>
  </si>
  <si>
    <t>Alíquota ST Retido</t>
  </si>
  <si>
    <t>Valor ST Retido</t>
  </si>
  <si>
    <t>Base de Cálculo ST A Reter</t>
  </si>
  <si>
    <t>Aliquota ST A Reter</t>
  </si>
  <si>
    <t>Valor ST A Reter</t>
  </si>
  <si>
    <t>tributação</t>
  </si>
  <si>
    <t>CEST</t>
  </si>
  <si>
    <t>PMPF</t>
  </si>
  <si>
    <t>000923940</t>
  </si>
  <si>
    <t>compra</t>
  </si>
  <si>
    <t/>
  </si>
  <si>
    <t>LAB TEUTO BRASILEIRO LTDA  - GO</t>
  </si>
  <si>
    <t>17159229/0001-76</t>
  </si>
  <si>
    <t>GO</t>
  </si>
  <si>
    <t>52240317159229000176550020009239401334120853</t>
  </si>
  <si>
    <t>AERODINI 100MCG SPRAY 200DOSES TEU</t>
  </si>
  <si>
    <t>7896112147640</t>
  </si>
  <si>
    <t xml:space="preserve">30049039  </t>
  </si>
  <si>
    <t>I.POSITIVO</t>
  </si>
  <si>
    <t>MEDICAMENTO</t>
  </si>
  <si>
    <t>2403</t>
  </si>
  <si>
    <t>N</t>
  </si>
  <si>
    <t>MED SIM POS IMP</t>
  </si>
  <si>
    <t>13.003.00</t>
  </si>
  <si>
    <t>000412773</t>
  </si>
  <si>
    <t>CIFARMA CIENTIFICA FARMACEUTICA LTDA</t>
  </si>
  <si>
    <t>17562075/0001-69</t>
  </si>
  <si>
    <t>52240317562075000169550010004127731522802397</t>
  </si>
  <si>
    <t>VARICOSS 20DGS CFM</t>
  </si>
  <si>
    <t>7898158693693</t>
  </si>
  <si>
    <t xml:space="preserve">30049059  </t>
  </si>
  <si>
    <t>R.NEGATIVO</t>
  </si>
  <si>
    <t>MED SIM NEG</t>
  </si>
  <si>
    <t>13.004.01</t>
  </si>
  <si>
    <t>BENATUX FRAMBOESA 12PAST CFM</t>
  </si>
  <si>
    <t>7898158693112</t>
  </si>
  <si>
    <t>13.003.01</t>
  </si>
  <si>
    <t>Base ICMS ST</t>
  </si>
  <si>
    <t>Aliquota ST (interna)</t>
  </si>
  <si>
    <t>% RED</t>
  </si>
  <si>
    <t>Base ICMS ST Reduzida</t>
  </si>
  <si>
    <t>Valor ST Base Reduzida</t>
  </si>
  <si>
    <t>Base ICMS ST Simplificada</t>
  </si>
  <si>
    <t>Alíquota Simplificada</t>
  </si>
  <si>
    <t>Valor Simplificada</t>
  </si>
  <si>
    <t>Base ICMS ST Simplificado (PMC)</t>
  </si>
  <si>
    <t>Alíquota Simplificado (PMC)</t>
  </si>
  <si>
    <t>Valor ICMS ST Simplificado (PMC)</t>
  </si>
  <si>
    <t>Comparativo Entre Cálculos</t>
  </si>
  <si>
    <t>000925023</t>
  </si>
  <si>
    <t>52240317159229000176550020009250231472197729</t>
  </si>
  <si>
    <t>ROSUVASTATINA 20MG 30CPR TEU</t>
  </si>
  <si>
    <t>7896112104407</t>
  </si>
  <si>
    <t xml:space="preserve">30049079  </t>
  </si>
  <si>
    <t>S</t>
  </si>
  <si>
    <t>28,53</t>
  </si>
  <si>
    <t>MED GEN POS IMP</t>
  </si>
  <si>
    <t>13.002.00</t>
  </si>
  <si>
    <t>ROSUVASTATINA 10MG 30CAP MOLE TEU</t>
  </si>
  <si>
    <t>7896112104360</t>
  </si>
  <si>
    <t>000925022</t>
  </si>
  <si>
    <t>52240317159229000176550020009250221867748615</t>
  </si>
  <si>
    <t>SILDENAFILA 50MG 4CPR TEUTO</t>
  </si>
  <si>
    <t>7896112104582</t>
  </si>
  <si>
    <t>MED GEN NEG</t>
  </si>
  <si>
    <t>13.002.01</t>
  </si>
  <si>
    <t>PERFUMARIA</t>
  </si>
  <si>
    <t>Base de Cálculo ST</t>
  </si>
  <si>
    <t>Aliquota ST</t>
  </si>
  <si>
    <t>Valor ST</t>
  </si>
  <si>
    <t>541481</t>
  </si>
  <si>
    <t>venda</t>
  </si>
  <si>
    <t>NF Impressa</t>
  </si>
  <si>
    <t>47.537.413 TARCIANO DANTAS DE MORAIS</t>
  </si>
  <si>
    <t>47537413/0001-73</t>
  </si>
  <si>
    <t>PE</t>
  </si>
  <si>
    <t>26240417291576000310550040005414811705547517</t>
  </si>
  <si>
    <t>PROPALOL 40MG 40CPR GLB</t>
  </si>
  <si>
    <t>7898060131290</t>
  </si>
  <si>
    <t xml:space="preserve">30039046  </t>
  </si>
  <si>
    <t>5403</t>
  </si>
  <si>
    <t>MED SIM POS 15x18%</t>
  </si>
  <si>
    <t>TYFLEN 200MG/ML GTS 15ML BST</t>
  </si>
  <si>
    <t>7898100240777</t>
  </si>
  <si>
    <t xml:space="preserve">30039055  </t>
  </si>
  <si>
    <t>PARACETAMOL 100MG BEBE SUSP 15ML TEU</t>
  </si>
  <si>
    <t>7896112168430</t>
  </si>
  <si>
    <t xml:space="preserve">30049045  </t>
  </si>
  <si>
    <t>000112903</t>
  </si>
  <si>
    <t>MULTILAB IND E COM DE PROD FARM LTDA-GENERICO</t>
  </si>
  <si>
    <t>92265552/0001-40</t>
  </si>
  <si>
    <t>RS</t>
  </si>
  <si>
    <t>43240292265552000140550010001129031121506304</t>
  </si>
  <si>
    <t>BUPROVIL 300MG 30CPR MLB</t>
  </si>
  <si>
    <t>7896004780740</t>
  </si>
  <si>
    <t xml:space="preserve">30049029  </t>
  </si>
  <si>
    <t>BUPROVIL 300MG 20CPR MLB</t>
  </si>
  <si>
    <t>7896004780733</t>
  </si>
  <si>
    <t>000027670</t>
  </si>
  <si>
    <t>HYPERA S.A.</t>
  </si>
  <si>
    <t>02932074/0063-94</t>
  </si>
  <si>
    <t>ES</t>
  </si>
  <si>
    <t>32240202932074006394550010000276701629871807</t>
  </si>
  <si>
    <t>BUSCODUO 10MG+500MG 20CPR HYP</t>
  </si>
  <si>
    <t>7896094921412</t>
  </si>
  <si>
    <t xml:space="preserve">30044990  </t>
  </si>
  <si>
    <t>MED REF NEG MG</t>
  </si>
  <si>
    <t>13.001.01</t>
  </si>
  <si>
    <t>035225</t>
  </si>
  <si>
    <t>SOUZA E SANTANA PRODUTOS FARMACEUTICOS LTDA ME</t>
  </si>
  <si>
    <t>23094417/0001-66</t>
  </si>
  <si>
    <t>26240417291576000409550010000352251824602136</t>
  </si>
  <si>
    <t>HIDRAT 10% ADT LOC TOP 150ML CMD</t>
  </si>
  <si>
    <t>7897947603950</t>
  </si>
  <si>
    <t xml:space="preserve">33049910  </t>
  </si>
  <si>
    <t>M.NEUTRO MONOFASICO</t>
  </si>
  <si>
    <t>TRIB 59,60% - 18x27% IPI</t>
  </si>
  <si>
    <t>13.001.00</t>
  </si>
  <si>
    <t>034764</t>
  </si>
  <si>
    <t>DIANA GUEDES DA SILVA 04250658473</t>
  </si>
  <si>
    <t>30137891/0001-93</t>
  </si>
  <si>
    <t>26240417291576000409550010000347641589163019</t>
  </si>
  <si>
    <t>BEPANDEX DERMA SOL 50ML AVV</t>
  </si>
  <si>
    <t>7908028021065</t>
  </si>
  <si>
    <t xml:space="preserve">33049990  </t>
  </si>
  <si>
    <t>TRIB 55,16% - 12x27% IPI</t>
  </si>
  <si>
    <t>20.015.00</t>
  </si>
  <si>
    <t>035158</t>
  </si>
  <si>
    <t>M P COMERCIO MEDICAMENTOS LTDA</t>
  </si>
  <si>
    <t>01546611/0001-00</t>
  </si>
  <si>
    <t>26240417291576000409550010000351581406934147</t>
  </si>
  <si>
    <t>CALAMED ALOE VERA FR 120G CMD</t>
  </si>
  <si>
    <t>7897947612266</t>
  </si>
  <si>
    <t>Valor Total Bruto</t>
  </si>
  <si>
    <t>Valor ST A Reter entradas</t>
  </si>
  <si>
    <t>000727163</t>
  </si>
  <si>
    <t>EUROFARMA LABORATÓRIOS S.A</t>
  </si>
  <si>
    <t>61190096/0016-79</t>
  </si>
  <si>
    <t>MG</t>
  </si>
  <si>
    <t>31240361190096001679550010007271631740115079</t>
  </si>
  <si>
    <t>BETAISTINA 16MG 30CPR EUR</t>
  </si>
  <si>
    <t>7891317478766</t>
  </si>
  <si>
    <t xml:space="preserve">30049069  </t>
  </si>
  <si>
    <t>000727597</t>
  </si>
  <si>
    <t>31240361190096001679550010007275971057586190</t>
  </si>
  <si>
    <t>DIENOGESTE 2MG 30CPR EUR</t>
  </si>
  <si>
    <t>7891317140458</t>
  </si>
  <si>
    <t xml:space="preserve">30066000  </t>
  </si>
  <si>
    <t>Valor total NF</t>
  </si>
  <si>
    <t>Valor Total (Base)</t>
  </si>
  <si>
    <t>Custo Médio</t>
  </si>
  <si>
    <t xml:space="preserve">Total 30% </t>
  </si>
  <si>
    <t>ST Final</t>
  </si>
  <si>
    <t>081462</t>
  </si>
  <si>
    <t>COMERCIAL DE MEDICAMENTOS PEDROSA LTDA</t>
  </si>
  <si>
    <t>08370620/0001-24</t>
  </si>
  <si>
    <t>PB</t>
  </si>
  <si>
    <t>25240417291576000581550010000814621705547510</t>
  </si>
  <si>
    <t>VERTIGIUM 10MG 50CPR NEO</t>
  </si>
  <si>
    <t>7896714239712</t>
  </si>
  <si>
    <t>MED SIM POS MG</t>
  </si>
  <si>
    <t>NAPROXENO 550MG 20CPR NEO</t>
  </si>
  <si>
    <t>7896714214399</t>
  </si>
  <si>
    <t>ONDANSETRONA 8MG 10CPR NEO</t>
  </si>
  <si>
    <t>7896714292489</t>
  </si>
  <si>
    <t>MED GEN POS</t>
  </si>
  <si>
    <t>Base de Cálculo FEEF</t>
  </si>
  <si>
    <t>ICMS ST A Recolher</t>
  </si>
  <si>
    <t>ST Saídas</t>
  </si>
  <si>
    <t>Incetivo fiscal</t>
  </si>
  <si>
    <t>FEEF</t>
  </si>
  <si>
    <t>000262498</t>
  </si>
  <si>
    <t>MEDQUIMICA IND FARMACEUTICA LTDA</t>
  </si>
  <si>
    <t>17875154/0003-91</t>
  </si>
  <si>
    <t>31240217875154000391550010002624981255159641</t>
  </si>
  <si>
    <t>TETRACICLINA*AM 500MG 8CPR MDQ</t>
  </si>
  <si>
    <t>7896862918064</t>
  </si>
  <si>
    <t xml:space="preserve">30032029  </t>
  </si>
  <si>
    <t>TETRACICLINA*AM 500MG 80CPR 20X4 MDQ</t>
  </si>
  <si>
    <t>7896862918057</t>
  </si>
  <si>
    <t xml:space="preserve">30042099  </t>
  </si>
  <si>
    <t>IBUPROFENO 100MG/ML GTS 20ML MDQ</t>
  </si>
  <si>
    <t>7896862960087</t>
  </si>
  <si>
    <t>MED GEN NEG MVA BA</t>
  </si>
  <si>
    <t>Resultado A</t>
  </si>
  <si>
    <t>Resultado B</t>
  </si>
  <si>
    <t>Resultado C</t>
  </si>
  <si>
    <t>Base Reduzida</t>
  </si>
  <si>
    <t xml:space="preserve">Sem redução </t>
  </si>
  <si>
    <t>Comparativo entre os 3 cálculos</t>
  </si>
  <si>
    <t>Se desconto comercial da NF maior que 10%, utilizar no máximo 10% para cálculo da base do ST. Se desconto destacado em NF menor que 10%, utilizar desconto da NF</t>
  </si>
  <si>
    <t>COD</t>
  </si>
  <si>
    <t>PRODUTO</t>
  </si>
  <si>
    <t>QTD</t>
  </si>
  <si>
    <t>VALOR UNI</t>
  </si>
  <si>
    <t>VALOR TOT</t>
  </si>
  <si>
    <t>BASE ICMS</t>
  </si>
  <si>
    <t>ALIQ ICMS</t>
  </si>
  <si>
    <t>VALOR ICMS</t>
  </si>
  <si>
    <t>BASE ICMS ST</t>
  </si>
  <si>
    <t>ALIQ ICMS ST</t>
  </si>
  <si>
    <t>VALOR ICMS ST</t>
  </si>
  <si>
    <t>PERC%</t>
  </si>
  <si>
    <t>ATIV CACHOS SALON LINE SOS 300ML TEENS</t>
  </si>
  <si>
    <t>GUANIDINA SALON LINE 218G OLEO DE ARGAN REGULAR</t>
  </si>
  <si>
    <t>EXEMPLO CÁLCULO MG - PMPF</t>
  </si>
  <si>
    <t>V</t>
  </si>
  <si>
    <t>U2+Y2+((U2+Y2)*30%)</t>
  </si>
  <si>
    <t>1. cálculo da base deve receber o tratamento do desconto referente ao regime especial.</t>
  </si>
  <si>
    <t>aliquota efetiva</t>
  </si>
  <si>
    <t>2. Realizar tratamento do regime especial (desconto), porém deve aplicar iva(Acréscimo).</t>
  </si>
  <si>
    <t>Redução na base do icms (Crédito)</t>
  </si>
  <si>
    <t>alíquota efetiva Feef</t>
  </si>
  <si>
    <t>aliq externa feef</t>
  </si>
  <si>
    <t>aliq interna feef - 20%</t>
  </si>
  <si>
    <t>iva feef - 30%</t>
  </si>
  <si>
    <t>st saída feef - 4%</t>
  </si>
  <si>
    <t>perc feef - 10% - 212</t>
  </si>
  <si>
    <t>VALOR FEEF - 220</t>
  </si>
  <si>
    <t>Aliq feef - 10% - 220</t>
  </si>
  <si>
    <t>BASE FEEF - 220</t>
  </si>
  <si>
    <t>valor do ST GUIA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</si>
</sst>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4" tint="-0.499984740745262"/>
      <name val="Aptos Narrow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9"/>
      </patternFill>
    </fill>
    <fill>
      <patternFill patternType="solid">
        <fgColor rgb="FFFF0000"/>
        <bgColor theme="9"/>
      </patternFill>
    </fill>
    <fill>
      <patternFill patternType="solid">
        <fgColor theme="4"/>
        <bgColor theme="9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2" borderId="1" xfId="0" applyFont="1" applyFill="1" applyBorder="1"/>
    <xf numFmtId="14" fontId="2" fillId="2" borderId="1" xfId="0" applyNumberFormat="1" applyFont="1" applyFill="1" applyBorder="1"/>
    <xf numFmtId="0" fontId="0" fillId="0" borderId="1" xfId="0" applyBorder="1"/>
    <xf numFmtId="14" fontId="0" fillId="0" borderId="1" xfId="0" applyNumberFormat="1" applyBorder="1"/>
    <xf numFmtId="0" fontId="2" fillId="3" borderId="1" xfId="0" applyFont="1" applyFill="1" applyBorder="1"/>
    <xf numFmtId="14" fontId="2" fillId="3" borderId="1" xfId="0" applyNumberFormat="1" applyFont="1" applyFill="1" applyBorder="1"/>
    <xf numFmtId="0" fontId="2" fillId="4" borderId="1" xfId="0" applyFont="1" applyFill="1" applyBorder="1"/>
    <xf numFmtId="0" fontId="2" fillId="5" borderId="1" xfId="0" applyFont="1" applyFill="1" applyBorder="1"/>
    <xf numFmtId="0" fontId="2" fillId="6" borderId="1" xfId="0" applyFont="1" applyFill="1" applyBorder="1"/>
    <xf numFmtId="0" fontId="3" fillId="7" borderId="1" xfId="0" applyFont="1" applyFill="1" applyBorder="1"/>
    <xf numFmtId="0" fontId="0" fillId="0" borderId="0" xfId="0" applyFill="1"/>
    <xf numFmtId="0" fontId="0" fillId="0" borderId="1" xfId="0" applyFill="1" applyBorder="1"/>
    <xf numFmtId="14" fontId="0" fillId="0" borderId="1" xfId="0" applyNumberFormat="1" applyFill="1" applyBorder="1"/>
    <xf numFmtId="2" fontId="0" fillId="0" borderId="1" xfId="0" applyNumberFormat="1" applyBorder="1"/>
    <xf numFmtId="2" fontId="0" fillId="0" borderId="1" xfId="0" applyNumberFormat="1" applyFill="1" applyBorder="1"/>
    <xf numFmtId="0" fontId="0" fillId="0" borderId="0" xfId="0"/>
    <xf numFmtId="44" fontId="0" fillId="0" borderId="0" xfId="1" applyFont="1"/>
    <xf numFmtId="44" fontId="0" fillId="0" borderId="1" xfId="1" applyFont="1" applyFill="1" applyBorder="1"/>
    <xf numFmtId="44" fontId="0" fillId="7" borderId="0" xfId="1" applyFont="1" applyFill="1"/>
    <xf numFmtId="44" fontId="2" fillId="3" borderId="1" xfId="1" applyFont="1" applyFill="1" applyBorder="1"/>
    <xf numFmtId="0" fontId="2" fillId="2" borderId="1" xfId="0" applyFont="1" applyFill="1" applyBorder="1" applyAlignment="1">
      <alignment horizontal="center" vertical="center"/>
    </xf>
    <xf numFmtId="44" fontId="2" fillId="2" borderId="1" xfId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4" fontId="2" fillId="2" borderId="2" xfId="1" applyFont="1" applyFill="1" applyBorder="1" applyAlignment="1">
      <alignment horizontal="center" vertical="center"/>
    </xf>
    <xf numFmtId="0" fontId="4" fillId="8" borderId="1" xfId="0" applyFont="1" applyFill="1" applyBorder="1"/>
    <xf numFmtId="0" fontId="2" fillId="9" borderId="1" xfId="0" applyFont="1" applyFill="1" applyBorder="1"/>
    <xf numFmtId="0" fontId="2" fillId="10" borderId="1" xfId="0" applyFont="1" applyFill="1" applyBorder="1"/>
    <xf numFmtId="0" fontId="5" fillId="0" borderId="0" xfId="0" applyFont="1"/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7" borderId="5" xfId="0" applyFill="1" applyBorder="1" applyAlignment="1">
      <alignment horizontal="center"/>
    </xf>
  </cellXfs>
  <cellStyles count="4">
    <cellStyle name="Moeda" xfId="1" builtinId="4"/>
    <cellStyle name="Moeda 2" xfId="2"/>
    <cellStyle name="Normal" xfId="0" builtinId="0"/>
    <cellStyle name="Po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7"/>
  <sheetViews>
    <sheetView topLeftCell="Y1" workbookViewId="0">
      <selection activeCell="AI2" sqref="AI2"/>
    </sheetView>
  </sheetViews>
  <sheetFormatPr defaultRowHeight="14"/>
  <cols>
    <col min="1" max="1" width="12.58203125" bestFit="1" customWidth="1"/>
    <col min="2" max="2" width="9.08203125" bestFit="1" customWidth="1"/>
    <col min="3" max="3" width="14.6640625" bestFit="1" customWidth="1"/>
    <col min="4" max="4" width="14.1640625" bestFit="1" customWidth="1"/>
    <col min="5" max="5" width="13.1640625" bestFit="1" customWidth="1"/>
    <col min="6" max="6" width="28.9140625" bestFit="1" customWidth="1"/>
    <col min="7" max="7" width="16.5" bestFit="1" customWidth="1"/>
    <col min="8" max="8" width="3.58203125" bestFit="1" customWidth="1"/>
    <col min="9" max="9" width="46" bestFit="1" customWidth="1"/>
    <col min="10" max="10" width="12.58203125" bestFit="1" customWidth="1"/>
    <col min="11" max="11" width="34.58203125" bestFit="1" customWidth="1"/>
    <col min="12" max="12" width="14.08203125" bestFit="1" customWidth="1"/>
    <col min="13" max="13" width="9.58203125" bestFit="1" customWidth="1"/>
    <col min="14" max="14" width="11.1640625" bestFit="1" customWidth="1"/>
    <col min="15" max="15" width="13.5" bestFit="1" customWidth="1"/>
    <col min="16" max="16" width="5.58203125" bestFit="1" customWidth="1"/>
    <col min="17" max="17" width="8.5" bestFit="1" customWidth="1"/>
    <col min="18" max="18" width="10.6640625" bestFit="1" customWidth="1"/>
    <col min="19" max="19" width="12.4140625" bestFit="1" customWidth="1"/>
    <col min="20" max="20" width="9.6640625" bestFit="1" customWidth="1"/>
    <col min="21" max="21" width="3.1640625" bestFit="1" customWidth="1"/>
    <col min="22" max="22" width="5.08203125" bestFit="1" customWidth="1"/>
    <col min="23" max="23" width="3.4140625" bestFit="1" customWidth="1"/>
    <col min="24" max="24" width="5.4140625" bestFit="1" customWidth="1"/>
    <col min="25" max="25" width="19" bestFit="1" customWidth="1"/>
    <col min="26" max="26" width="15.1640625" bestFit="1" customWidth="1"/>
    <col min="27" max="27" width="10" bestFit="1" customWidth="1"/>
    <col min="28" max="28" width="6" bestFit="1" customWidth="1"/>
    <col min="29" max="29" width="5.58203125" bestFit="1" customWidth="1"/>
    <col min="30" max="30" width="4.58203125" bestFit="1" customWidth="1"/>
    <col min="31" max="31" width="12" bestFit="1" customWidth="1"/>
    <col min="32" max="32" width="21.08203125" customWidth="1"/>
    <col min="33" max="33" width="10.1640625" customWidth="1"/>
    <col min="34" max="35" width="20.4140625" bestFit="1" customWidth="1"/>
    <col min="36" max="36" width="23.5" bestFit="1" customWidth="1"/>
    <col min="37" max="37" width="19.4140625" bestFit="1" customWidth="1"/>
    <col min="38" max="38" width="16.5" bestFit="1" customWidth="1"/>
    <col min="39" max="39" width="29" bestFit="1" customWidth="1"/>
    <col min="40" max="40" width="24.9140625" bestFit="1" customWidth="1"/>
    <col min="41" max="41" width="35.58203125" customWidth="1"/>
    <col min="42" max="42" width="24.4140625" bestFit="1" customWidth="1"/>
    <col min="43" max="43" width="15.9140625" bestFit="1" customWidth="1"/>
    <col min="44" max="44" width="9.08203125" bestFit="1" customWidth="1"/>
  </cols>
  <sheetData>
    <row r="1" spans="1:44">
      <c r="A1" s="5" t="s">
        <v>0</v>
      </c>
      <c r="B1" s="5" t="s">
        <v>1</v>
      </c>
      <c r="C1" s="6" t="s">
        <v>3</v>
      </c>
      <c r="D1" s="6" t="s">
        <v>4</v>
      </c>
      <c r="E1" s="5" t="s">
        <v>5</v>
      </c>
      <c r="F1" s="5" t="s">
        <v>6</v>
      </c>
      <c r="G1" s="5" t="s">
        <v>7</v>
      </c>
      <c r="H1" s="5" t="s">
        <v>8</v>
      </c>
      <c r="I1" s="5" t="s">
        <v>9</v>
      </c>
      <c r="J1" s="5" t="s">
        <v>10</v>
      </c>
      <c r="K1" s="5" t="s">
        <v>11</v>
      </c>
      <c r="L1" s="5" t="s">
        <v>12</v>
      </c>
      <c r="M1" s="5" t="s">
        <v>13</v>
      </c>
      <c r="N1" s="5" t="s">
        <v>14</v>
      </c>
      <c r="O1" s="5" t="s">
        <v>15</v>
      </c>
      <c r="P1" s="5" t="s">
        <v>16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22</v>
      </c>
      <c r="W1" s="5" t="s">
        <v>23</v>
      </c>
      <c r="X1" s="5" t="s">
        <v>24</v>
      </c>
      <c r="Y1" s="5" t="s">
        <v>25</v>
      </c>
      <c r="Z1" s="5" t="s">
        <v>26</v>
      </c>
      <c r="AA1" s="5" t="s">
        <v>28</v>
      </c>
      <c r="AB1" s="5" t="s">
        <v>29</v>
      </c>
      <c r="AC1" s="5" t="s">
        <v>39</v>
      </c>
      <c r="AD1" s="5" t="s">
        <v>30</v>
      </c>
      <c r="AE1" s="7" t="s">
        <v>69</v>
      </c>
      <c r="AF1" s="7" t="s">
        <v>70</v>
      </c>
      <c r="AG1" s="7" t="s">
        <v>71</v>
      </c>
      <c r="AH1" s="7" t="s">
        <v>72</v>
      </c>
      <c r="AI1" s="7" t="s">
        <v>73</v>
      </c>
      <c r="AJ1" s="8" t="s">
        <v>74</v>
      </c>
      <c r="AK1" s="8" t="s">
        <v>75</v>
      </c>
      <c r="AL1" s="8" t="s">
        <v>76</v>
      </c>
      <c r="AM1" s="9" t="s">
        <v>77</v>
      </c>
      <c r="AN1" s="9" t="s">
        <v>78</v>
      </c>
      <c r="AO1" s="9" t="s">
        <v>79</v>
      </c>
      <c r="AP1" s="10" t="s">
        <v>80</v>
      </c>
      <c r="AQ1" s="5" t="s">
        <v>37</v>
      </c>
      <c r="AR1" s="5" t="s">
        <v>38</v>
      </c>
    </row>
    <row r="2" spans="1:44">
      <c r="A2" s="3" t="s">
        <v>81</v>
      </c>
      <c r="B2" s="3" t="s">
        <v>41</v>
      </c>
      <c r="C2" s="4">
        <v>45372</v>
      </c>
      <c r="D2" s="4">
        <v>45401</v>
      </c>
      <c r="E2" s="3">
        <v>67253</v>
      </c>
      <c r="F2" s="3" t="s">
        <v>43</v>
      </c>
      <c r="G2" s="3" t="s">
        <v>44</v>
      </c>
      <c r="H2" s="3" t="s">
        <v>45</v>
      </c>
      <c r="I2" s="3" t="s">
        <v>82</v>
      </c>
      <c r="J2" s="3">
        <v>158690</v>
      </c>
      <c r="K2" s="3" t="s">
        <v>83</v>
      </c>
      <c r="L2" s="3" t="s">
        <v>84</v>
      </c>
      <c r="M2" s="3" t="s">
        <v>85</v>
      </c>
      <c r="N2" s="3" t="s">
        <v>50</v>
      </c>
      <c r="O2" s="3" t="s">
        <v>51</v>
      </c>
      <c r="P2" s="3" t="s">
        <v>52</v>
      </c>
      <c r="Q2" s="3" t="s">
        <v>86</v>
      </c>
      <c r="R2" s="3">
        <v>980</v>
      </c>
      <c r="S2" s="3">
        <v>7.48</v>
      </c>
      <c r="T2" s="3">
        <v>7330.4</v>
      </c>
      <c r="U2" s="3">
        <v>0</v>
      </c>
      <c r="V2" s="3">
        <v>0</v>
      </c>
      <c r="W2" s="3">
        <v>0</v>
      </c>
      <c r="X2" s="3">
        <v>0</v>
      </c>
      <c r="Y2" s="3">
        <v>7330.4</v>
      </c>
      <c r="Z2" s="3">
        <v>4</v>
      </c>
      <c r="AA2" s="3">
        <v>293.22000000000003</v>
      </c>
      <c r="AB2" s="3">
        <v>74.36</v>
      </c>
      <c r="AC2" s="3">
        <v>0</v>
      </c>
      <c r="AD2" s="3">
        <v>0</v>
      </c>
      <c r="AE2" s="3">
        <f>AB2*R2</f>
        <v>72872.800000000003</v>
      </c>
      <c r="AF2" s="3">
        <v>20.5</v>
      </c>
      <c r="AG2" s="3" t="s">
        <v>87</v>
      </c>
      <c r="AH2" s="3">
        <f>AE2-(AE2*AG2%)</f>
        <v>52082.190159999998</v>
      </c>
      <c r="AI2" s="3">
        <f>AH2*AF2%-AA2</f>
        <v>10383.628982799999</v>
      </c>
      <c r="AJ2" s="3">
        <f>((R2*S2)+U2+W2)</f>
        <v>7330.4000000000005</v>
      </c>
      <c r="AK2" s="3">
        <v>16</v>
      </c>
      <c r="AL2" s="3">
        <f>AJ2*AK2%</f>
        <v>1172.864</v>
      </c>
      <c r="AM2" s="3">
        <f>R2*AB2</f>
        <v>72872.800000000003</v>
      </c>
      <c r="AN2" s="3">
        <v>3</v>
      </c>
      <c r="AO2" s="3">
        <f>AM2*AN2%</f>
        <v>2186.1840000000002</v>
      </c>
      <c r="AP2" s="3">
        <f>MIN(MAX(AL2,AO2),AI2)</f>
        <v>2186.1840000000002</v>
      </c>
      <c r="AQ2" s="3" t="s">
        <v>88</v>
      </c>
      <c r="AR2" s="3" t="s">
        <v>89</v>
      </c>
    </row>
    <row r="3" spans="1:44">
      <c r="A3" s="3" t="s">
        <v>81</v>
      </c>
      <c r="B3" s="3" t="s">
        <v>41</v>
      </c>
      <c r="C3" s="4">
        <v>45372</v>
      </c>
      <c r="D3" s="4">
        <v>45401</v>
      </c>
      <c r="E3" s="3">
        <v>67253</v>
      </c>
      <c r="F3" s="3" t="s">
        <v>43</v>
      </c>
      <c r="G3" s="3" t="s">
        <v>44</v>
      </c>
      <c r="H3" s="3" t="s">
        <v>45</v>
      </c>
      <c r="I3" s="3" t="s">
        <v>82</v>
      </c>
      <c r="J3" s="3">
        <v>177113</v>
      </c>
      <c r="K3" s="3" t="s">
        <v>90</v>
      </c>
      <c r="L3" s="3" t="s">
        <v>91</v>
      </c>
      <c r="M3" s="3" t="s">
        <v>85</v>
      </c>
      <c r="N3" s="3" t="s">
        <v>50</v>
      </c>
      <c r="O3" s="3" t="s">
        <v>51</v>
      </c>
      <c r="P3" s="3" t="s">
        <v>52</v>
      </c>
      <c r="Q3" s="3" t="s">
        <v>86</v>
      </c>
      <c r="R3" s="3">
        <v>1280</v>
      </c>
      <c r="S3" s="3">
        <v>4.96</v>
      </c>
      <c r="T3" s="3">
        <v>6348.8</v>
      </c>
      <c r="U3" s="3">
        <v>0</v>
      </c>
      <c r="V3" s="3">
        <v>0</v>
      </c>
      <c r="W3" s="3">
        <v>0</v>
      </c>
      <c r="X3" s="3">
        <v>0</v>
      </c>
      <c r="Y3" s="3">
        <v>6348.8</v>
      </c>
      <c r="Z3" s="3">
        <v>4</v>
      </c>
      <c r="AA3" s="3">
        <v>253.95</v>
      </c>
      <c r="AB3" s="3">
        <v>52.01</v>
      </c>
      <c r="AC3" s="3">
        <v>0</v>
      </c>
      <c r="AD3" s="3">
        <v>0</v>
      </c>
      <c r="AE3" s="3">
        <f>AB3*R3</f>
        <v>66572.800000000003</v>
      </c>
      <c r="AF3" s="3">
        <v>20.5</v>
      </c>
      <c r="AG3" s="3" t="s">
        <v>87</v>
      </c>
      <c r="AH3" s="3">
        <f>AE3-(AE3*AG3%)</f>
        <v>47579.580159999998</v>
      </c>
      <c r="AI3" s="3">
        <f>AH3*AF3%-AA3</f>
        <v>9499.863932799999</v>
      </c>
      <c r="AJ3" s="3">
        <f>((R3*S3)+U3+W3)</f>
        <v>6348.8</v>
      </c>
      <c r="AK3" s="3">
        <v>16</v>
      </c>
      <c r="AL3" s="3">
        <f>AJ3*AK3%</f>
        <v>1015.8080000000001</v>
      </c>
      <c r="AM3" s="3">
        <f>R3*AB3</f>
        <v>66572.800000000003</v>
      </c>
      <c r="AN3" s="3">
        <v>3</v>
      </c>
      <c r="AO3" s="3">
        <f>AM3*AN3%</f>
        <v>1997.184</v>
      </c>
      <c r="AP3" s="3">
        <f>MIN(MAX(AL3,AO3),AI3)</f>
        <v>1997.184</v>
      </c>
      <c r="AQ3" s="3" t="s">
        <v>88</v>
      </c>
      <c r="AR3" s="3" t="s">
        <v>89</v>
      </c>
    </row>
    <row r="4" spans="1:44">
      <c r="A4" s="3" t="s">
        <v>92</v>
      </c>
      <c r="B4" s="3" t="s">
        <v>41</v>
      </c>
      <c r="C4" s="4">
        <v>45372</v>
      </c>
      <c r="D4" s="4">
        <v>45401</v>
      </c>
      <c r="E4" s="3">
        <v>67253</v>
      </c>
      <c r="F4" s="3" t="s">
        <v>43</v>
      </c>
      <c r="G4" s="3" t="s">
        <v>44</v>
      </c>
      <c r="H4" s="3" t="s">
        <v>45</v>
      </c>
      <c r="I4" s="3" t="s">
        <v>93</v>
      </c>
      <c r="J4" s="3">
        <v>204919</v>
      </c>
      <c r="K4" s="3" t="s">
        <v>94</v>
      </c>
      <c r="L4" s="3" t="s">
        <v>95</v>
      </c>
      <c r="M4" s="3" t="s">
        <v>85</v>
      </c>
      <c r="N4" s="3" t="s">
        <v>63</v>
      </c>
      <c r="O4" s="3" t="s">
        <v>51</v>
      </c>
      <c r="P4" s="3" t="s">
        <v>52</v>
      </c>
      <c r="Q4" s="3" t="s">
        <v>86</v>
      </c>
      <c r="R4" s="3">
        <v>30000</v>
      </c>
      <c r="S4" s="3">
        <v>0.99</v>
      </c>
      <c r="T4" s="3">
        <v>29700</v>
      </c>
      <c r="U4" s="3">
        <v>0</v>
      </c>
      <c r="V4" s="3">
        <v>0</v>
      </c>
      <c r="W4" s="3">
        <v>0</v>
      </c>
      <c r="X4" s="3">
        <v>0</v>
      </c>
      <c r="Y4" s="3">
        <v>26759.7</v>
      </c>
      <c r="Z4" s="3">
        <v>12</v>
      </c>
      <c r="AA4" s="3">
        <v>3211.16</v>
      </c>
      <c r="AB4" s="3">
        <v>18.11</v>
      </c>
      <c r="AC4" s="3">
        <v>0</v>
      </c>
      <c r="AD4" s="3">
        <v>0</v>
      </c>
      <c r="AE4" s="3">
        <f>AB4*R4</f>
        <v>543300</v>
      </c>
      <c r="AF4" s="3">
        <v>20.5</v>
      </c>
      <c r="AG4" s="3" t="s">
        <v>87</v>
      </c>
      <c r="AH4" s="3">
        <f>AE4-(AE4*AG4%)</f>
        <v>388296.51</v>
      </c>
      <c r="AI4" s="3">
        <f>AH4*AF4%-AA4</f>
        <v>76389.624549999993</v>
      </c>
      <c r="AJ4" s="3">
        <f>((R4*S4)+U4+W4)</f>
        <v>29700</v>
      </c>
      <c r="AK4" s="3">
        <v>16</v>
      </c>
      <c r="AL4" s="3">
        <f>AJ4*AK4%</f>
        <v>4752</v>
      </c>
      <c r="AM4" s="3">
        <f>R4*AB4</f>
        <v>543300</v>
      </c>
      <c r="AN4" s="3">
        <v>3</v>
      </c>
      <c r="AO4" s="3">
        <f>AM4*AN4%</f>
        <v>16299</v>
      </c>
      <c r="AP4" s="3">
        <f>MIN(MAX(AL4,AO4),AI4)</f>
        <v>16299</v>
      </c>
      <c r="AQ4" s="3" t="s">
        <v>96</v>
      </c>
      <c r="AR4" s="3" t="s">
        <v>97</v>
      </c>
    </row>
    <row r="6" spans="1:44">
      <c r="AI6" t="s">
        <v>216</v>
      </c>
      <c r="AL6" t="s">
        <v>217</v>
      </c>
      <c r="AO6" t="s">
        <v>218</v>
      </c>
    </row>
    <row r="7" spans="1:44">
      <c r="AI7" t="s">
        <v>219</v>
      </c>
      <c r="AL7" t="s">
        <v>220</v>
      </c>
      <c r="AO7" t="s">
        <v>29</v>
      </c>
      <c r="AP7" t="s">
        <v>221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"/>
  <sheetViews>
    <sheetView topLeftCell="W1" workbookViewId="0">
      <selection activeCell="AL2" sqref="AL2"/>
    </sheetView>
  </sheetViews>
  <sheetFormatPr defaultRowHeight="14"/>
  <cols>
    <col min="1" max="1" width="12.58203125" bestFit="1" customWidth="1"/>
    <col min="2" max="2" width="9.08203125" bestFit="1" customWidth="1"/>
    <col min="3" max="3" width="14.6640625" bestFit="1" customWidth="1"/>
    <col min="4" max="4" width="14.1640625" bestFit="1" customWidth="1"/>
    <col min="5" max="5" width="13.1640625" bestFit="1" customWidth="1"/>
    <col min="6" max="6" width="28" bestFit="1" customWidth="1"/>
    <col min="7" max="7" width="16.5" bestFit="1" customWidth="1"/>
    <col min="8" max="8" width="3.6640625" bestFit="1" customWidth="1"/>
    <col min="9" max="9" width="46" bestFit="1" customWidth="1"/>
    <col min="10" max="10" width="12.58203125" bestFit="1" customWidth="1"/>
    <col min="11" max="11" width="25.5" bestFit="1" customWidth="1"/>
    <col min="12" max="12" width="14.08203125" bestFit="1" customWidth="1"/>
    <col min="13" max="13" width="9.58203125" bestFit="1" customWidth="1"/>
    <col min="14" max="14" width="11.1640625" bestFit="1" customWidth="1"/>
    <col min="15" max="15" width="13.5" bestFit="1" customWidth="1"/>
    <col min="16" max="16" width="5.58203125" bestFit="1" customWidth="1"/>
    <col min="17" max="17" width="8.5" bestFit="1" customWidth="1"/>
    <col min="18" max="18" width="10.6640625" bestFit="1" customWidth="1"/>
    <col min="19" max="19" width="12.4140625" bestFit="1" customWidth="1"/>
    <col min="20" max="20" width="12.4140625" customWidth="1"/>
    <col min="21" max="21" width="14.58203125" bestFit="1" customWidth="1"/>
    <col min="22" max="22" width="20.9140625" customWidth="1"/>
    <col min="23" max="23" width="3.1640625" bestFit="1" customWidth="1"/>
    <col min="24" max="24" width="5.08203125" bestFit="1" customWidth="1"/>
    <col min="25" max="25" width="3.4140625" bestFit="1" customWidth="1"/>
    <col min="26" max="26" width="5.4140625" bestFit="1" customWidth="1"/>
    <col min="27" max="27" width="21.58203125" customWidth="1"/>
    <col min="28" max="29" width="15.1640625" bestFit="1" customWidth="1"/>
    <col min="30" max="30" width="10" bestFit="1" customWidth="1"/>
    <col min="31" max="31" width="6" bestFit="1" customWidth="1"/>
    <col min="32" max="32" width="4.58203125" bestFit="1" customWidth="1"/>
    <col min="33" max="33" width="22.5" bestFit="1" customWidth="1"/>
    <col min="34" max="34" width="16.1640625" bestFit="1" customWidth="1"/>
    <col min="35" max="35" width="13.5" bestFit="1" customWidth="1"/>
    <col min="36" max="36" width="23" bestFit="1" customWidth="1"/>
    <col min="37" max="37" width="16.58203125" bestFit="1" customWidth="1"/>
    <col min="38" max="38" width="21.9140625" bestFit="1" customWidth="1"/>
    <col min="39" max="39" width="12.58203125" bestFit="1" customWidth="1"/>
    <col min="40" max="40" width="9.08203125" bestFit="1" customWidth="1"/>
    <col min="41" max="41" width="5.58203125" bestFit="1" customWidth="1"/>
  </cols>
  <sheetData>
    <row r="1" spans="1:41">
      <c r="A1" s="1" t="s">
        <v>0</v>
      </c>
      <c r="B1" s="1" t="s">
        <v>1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180</v>
      </c>
      <c r="U1" s="1" t="s">
        <v>165</v>
      </c>
      <c r="V1" s="1" t="s">
        <v>181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166</v>
      </c>
      <c r="AM1" s="1" t="s">
        <v>37</v>
      </c>
      <c r="AN1" s="1" t="s">
        <v>38</v>
      </c>
      <c r="AO1" s="1" t="s">
        <v>39</v>
      </c>
    </row>
    <row r="2" spans="1:41">
      <c r="A2" s="3" t="s">
        <v>167</v>
      </c>
      <c r="B2" s="3" t="s">
        <v>41</v>
      </c>
      <c r="C2" s="4">
        <v>45381</v>
      </c>
      <c r="D2" s="4">
        <v>45407</v>
      </c>
      <c r="E2" s="3">
        <v>159972</v>
      </c>
      <c r="F2" s="3" t="s">
        <v>168</v>
      </c>
      <c r="G2" s="3" t="s">
        <v>169</v>
      </c>
      <c r="H2" s="3" t="s">
        <v>170</v>
      </c>
      <c r="I2" s="3" t="s">
        <v>171</v>
      </c>
      <c r="J2" s="3">
        <v>70785</v>
      </c>
      <c r="K2" s="3" t="s">
        <v>172</v>
      </c>
      <c r="L2" s="3" t="s">
        <v>173</v>
      </c>
      <c r="M2" s="3" t="s">
        <v>174</v>
      </c>
      <c r="N2" s="3" t="s">
        <v>63</v>
      </c>
      <c r="O2" s="3" t="s">
        <v>51</v>
      </c>
      <c r="P2" s="3" t="s">
        <v>52</v>
      </c>
      <c r="Q2" s="3" t="s">
        <v>86</v>
      </c>
      <c r="R2" s="3">
        <v>135</v>
      </c>
      <c r="S2" s="3">
        <v>5.4071999999999996</v>
      </c>
      <c r="T2" s="3">
        <v>729.97199999999998</v>
      </c>
      <c r="U2" s="3">
        <v>848.61</v>
      </c>
      <c r="V2" s="14">
        <f>U2*(1-10%)</f>
        <v>763.74900000000002</v>
      </c>
      <c r="W2" s="3">
        <v>0</v>
      </c>
      <c r="X2" s="3">
        <v>0</v>
      </c>
      <c r="Y2" s="3">
        <v>0</v>
      </c>
      <c r="Z2" s="3">
        <v>0</v>
      </c>
      <c r="AA2" s="3">
        <v>661.79</v>
      </c>
      <c r="AB2" s="3">
        <v>7</v>
      </c>
      <c r="AC2" s="3">
        <v>9.34</v>
      </c>
      <c r="AD2" s="3">
        <v>46.33</v>
      </c>
      <c r="AE2" s="3">
        <v>31.01</v>
      </c>
      <c r="AF2" s="3">
        <v>0</v>
      </c>
      <c r="AG2" s="3">
        <v>0</v>
      </c>
      <c r="AH2" s="3">
        <v>0</v>
      </c>
      <c r="AI2" s="3">
        <v>0</v>
      </c>
      <c r="AJ2" s="14">
        <f>V2</f>
        <v>763.74900000000002</v>
      </c>
      <c r="AK2" s="3">
        <v>7</v>
      </c>
      <c r="AL2" s="3">
        <f>AJ2*AK2%</f>
        <v>53.462430000000005</v>
      </c>
      <c r="AM2" s="3" t="s">
        <v>96</v>
      </c>
      <c r="AN2" s="3" t="s">
        <v>97</v>
      </c>
      <c r="AO2" s="3">
        <v>0</v>
      </c>
    </row>
    <row r="3" spans="1:41">
      <c r="A3" s="3" t="s">
        <v>175</v>
      </c>
      <c r="B3" s="3" t="s">
        <v>41</v>
      </c>
      <c r="C3" s="4">
        <v>45381</v>
      </c>
      <c r="D3" s="4">
        <v>45407</v>
      </c>
      <c r="E3" s="3">
        <v>159972</v>
      </c>
      <c r="F3" s="3" t="s">
        <v>168</v>
      </c>
      <c r="G3" s="3" t="s">
        <v>169</v>
      </c>
      <c r="H3" s="3" t="s">
        <v>170</v>
      </c>
      <c r="I3" s="3" t="s">
        <v>176</v>
      </c>
      <c r="J3" s="3">
        <v>96300</v>
      </c>
      <c r="K3" s="3" t="s">
        <v>177</v>
      </c>
      <c r="L3" s="3" t="s">
        <v>178</v>
      </c>
      <c r="M3" s="3" t="s">
        <v>179</v>
      </c>
      <c r="N3" s="3" t="s">
        <v>63</v>
      </c>
      <c r="O3" s="3" t="s">
        <v>51</v>
      </c>
      <c r="P3" s="3" t="s">
        <v>52</v>
      </c>
      <c r="Q3" s="3" t="s">
        <v>86</v>
      </c>
      <c r="R3" s="3">
        <v>100</v>
      </c>
      <c r="S3" s="3">
        <v>10.797000000000001</v>
      </c>
      <c r="T3" s="3">
        <v>1079.7</v>
      </c>
      <c r="U3" s="3">
        <v>1255.17</v>
      </c>
      <c r="V3" s="14">
        <f>U3*(1-10%)</f>
        <v>1129.653</v>
      </c>
      <c r="W3" s="3">
        <v>0</v>
      </c>
      <c r="X3" s="3">
        <v>0</v>
      </c>
      <c r="Y3" s="3">
        <v>0</v>
      </c>
      <c r="Z3" s="3">
        <v>0</v>
      </c>
      <c r="AA3" s="3">
        <v>978.86</v>
      </c>
      <c r="AB3" s="3">
        <v>7</v>
      </c>
      <c r="AC3" s="3">
        <v>9.34</v>
      </c>
      <c r="AD3" s="3">
        <v>68.52</v>
      </c>
      <c r="AE3" s="3">
        <v>82.57</v>
      </c>
      <c r="AF3" s="3">
        <v>0</v>
      </c>
      <c r="AG3" s="3">
        <v>0</v>
      </c>
      <c r="AH3" s="3">
        <v>0</v>
      </c>
      <c r="AI3" s="3">
        <v>0</v>
      </c>
      <c r="AJ3" s="14">
        <f>V3</f>
        <v>1129.653</v>
      </c>
      <c r="AK3" s="3">
        <v>7</v>
      </c>
      <c r="AL3" s="3">
        <f>AJ3*AK3%</f>
        <v>79.075710000000015</v>
      </c>
      <c r="AM3" s="3" t="s">
        <v>96</v>
      </c>
      <c r="AN3" s="3" t="s">
        <v>97</v>
      </c>
      <c r="AO3" s="3">
        <v>0</v>
      </c>
    </row>
    <row r="6" spans="1:41">
      <c r="V6" t="s">
        <v>222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1"/>
  <sheetViews>
    <sheetView topLeftCell="P1" workbookViewId="0">
      <selection activeCell="P8" sqref="P8:S8"/>
    </sheetView>
  </sheetViews>
  <sheetFormatPr defaultRowHeight="14"/>
  <cols>
    <col min="1" max="1" width="12.58203125" bestFit="1" customWidth="1"/>
    <col min="2" max="2" width="9.08203125" bestFit="1" customWidth="1"/>
    <col min="3" max="3" width="14.6640625" bestFit="1" customWidth="1"/>
    <col min="4" max="4" width="14.1640625" bestFit="1" customWidth="1"/>
    <col min="5" max="5" width="13.1640625" bestFit="1" customWidth="1"/>
    <col min="6" max="6" width="36.1640625" bestFit="1" customWidth="1"/>
    <col min="7" max="7" width="16.5" bestFit="1" customWidth="1"/>
    <col min="8" max="8" width="3.58203125" bestFit="1" customWidth="1"/>
    <col min="9" max="9" width="46" bestFit="1" customWidth="1"/>
    <col min="10" max="10" width="12.58203125" bestFit="1" customWidth="1"/>
    <col min="11" max="11" width="35" bestFit="1" customWidth="1"/>
    <col min="12" max="12" width="14.08203125" bestFit="1" customWidth="1"/>
    <col min="13" max="13" width="9.58203125" bestFit="1" customWidth="1"/>
    <col min="14" max="14" width="11.1640625" bestFit="1" customWidth="1"/>
    <col min="15" max="15" width="13.5" bestFit="1" customWidth="1"/>
    <col min="16" max="16" width="11" customWidth="1"/>
    <col min="17" max="17" width="12.58203125" customWidth="1"/>
    <col min="18" max="18" width="10.6640625" bestFit="1" customWidth="1"/>
    <col min="19" max="19" width="12.4140625" bestFit="1" customWidth="1"/>
    <col min="20" max="20" width="13" bestFit="1" customWidth="1"/>
    <col min="21" max="21" width="3.1640625" bestFit="1" customWidth="1"/>
    <col min="22" max="22" width="3.4140625" bestFit="1" customWidth="1"/>
    <col min="23" max="23" width="13.6640625" bestFit="1" customWidth="1"/>
    <col min="24" max="24" width="19" bestFit="1" customWidth="1"/>
    <col min="25" max="26" width="15.1640625" bestFit="1" customWidth="1"/>
    <col min="27" max="27" width="10" bestFit="1" customWidth="1"/>
    <col min="28" max="28" width="12.58203125" customWidth="1"/>
    <col min="29" max="29" width="7.6640625" bestFit="1" customWidth="1"/>
    <col min="30" max="30" width="6" bestFit="1" customWidth="1"/>
    <col min="31" max="31" width="23" bestFit="1" customWidth="1"/>
    <col min="32" max="32" width="16.58203125" bestFit="1" customWidth="1"/>
    <col min="33" max="33" width="14" bestFit="1" customWidth="1"/>
    <col min="34" max="34" width="15.08203125" bestFit="1" customWidth="1"/>
    <col min="35" max="35" width="9.08203125" bestFit="1" customWidth="1"/>
  </cols>
  <sheetData>
    <row r="1" spans="1:35">
      <c r="A1" s="1" t="s">
        <v>0</v>
      </c>
      <c r="B1" s="1" t="s">
        <v>1</v>
      </c>
      <c r="C1" s="2" t="s">
        <v>3</v>
      </c>
      <c r="D1" s="2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  <c r="V1" s="1" t="s">
        <v>23</v>
      </c>
      <c r="W1" s="1" t="s">
        <v>24</v>
      </c>
      <c r="X1" s="1" t="s">
        <v>25</v>
      </c>
      <c r="Y1" s="1" t="s">
        <v>26</v>
      </c>
      <c r="Z1" s="1" t="s">
        <v>27</v>
      </c>
      <c r="AA1" s="1" t="s">
        <v>28</v>
      </c>
      <c r="AB1" s="1" t="s">
        <v>29</v>
      </c>
      <c r="AC1" s="1" t="s">
        <v>39</v>
      </c>
      <c r="AD1" s="1" t="s">
        <v>30</v>
      </c>
      <c r="AE1" s="1" t="s">
        <v>34</v>
      </c>
      <c r="AF1" s="1" t="s">
        <v>35</v>
      </c>
      <c r="AG1" s="1" t="s">
        <v>36</v>
      </c>
      <c r="AH1" s="1" t="s">
        <v>37</v>
      </c>
      <c r="AI1" s="1" t="s">
        <v>38</v>
      </c>
    </row>
    <row r="2" spans="1:35">
      <c r="A2" s="3" t="s">
        <v>40</v>
      </c>
      <c r="B2" s="3" t="s">
        <v>41</v>
      </c>
      <c r="C2" s="4">
        <v>45363</v>
      </c>
      <c r="D2" s="4">
        <v>45385</v>
      </c>
      <c r="E2" s="3">
        <v>67253</v>
      </c>
      <c r="F2" s="3" t="s">
        <v>43</v>
      </c>
      <c r="G2" s="3" t="s">
        <v>44</v>
      </c>
      <c r="H2" s="3" t="s">
        <v>45</v>
      </c>
      <c r="I2" s="3" t="s">
        <v>46</v>
      </c>
      <c r="J2" s="3">
        <v>59269</v>
      </c>
      <c r="K2" s="3" t="s">
        <v>47</v>
      </c>
      <c r="L2" s="3" t="s">
        <v>48</v>
      </c>
      <c r="M2" s="3" t="s">
        <v>49</v>
      </c>
      <c r="N2" s="3" t="s">
        <v>50</v>
      </c>
      <c r="O2" s="3" t="s">
        <v>51</v>
      </c>
      <c r="P2" s="3" t="s">
        <v>52</v>
      </c>
      <c r="Q2" s="3" t="s">
        <v>53</v>
      </c>
      <c r="R2" s="3">
        <v>10000</v>
      </c>
      <c r="S2" s="3">
        <v>2.58</v>
      </c>
      <c r="T2" s="3">
        <v>25800</v>
      </c>
      <c r="U2" s="3">
        <v>0</v>
      </c>
      <c r="V2" s="3">
        <v>0</v>
      </c>
      <c r="W2" s="3">
        <v>0</v>
      </c>
      <c r="X2" s="3">
        <v>25800</v>
      </c>
      <c r="Y2" s="3">
        <v>4</v>
      </c>
      <c r="Z2" s="3">
        <v>0</v>
      </c>
      <c r="AA2" s="3">
        <v>1032</v>
      </c>
      <c r="AB2" s="3">
        <v>52.3</v>
      </c>
      <c r="AC2" s="3">
        <v>0</v>
      </c>
      <c r="AD2" s="3">
        <v>61.84</v>
      </c>
      <c r="AE2" s="3">
        <f>(T2+U2+V2+W2)*(1+AD2%)</f>
        <v>41754.720000000001</v>
      </c>
      <c r="AF2" s="3">
        <v>18</v>
      </c>
      <c r="AG2" s="3">
        <f>AE2*AF2%-AA2</f>
        <v>6483.8495999999996</v>
      </c>
      <c r="AH2" s="3" t="s">
        <v>54</v>
      </c>
      <c r="AI2" s="3" t="s">
        <v>55</v>
      </c>
    </row>
    <row r="3" spans="1:35">
      <c r="A3" s="3" t="s">
        <v>56</v>
      </c>
      <c r="B3" s="3" t="s">
        <v>41</v>
      </c>
      <c r="C3" s="4">
        <v>45357</v>
      </c>
      <c r="D3" s="4">
        <v>45383</v>
      </c>
      <c r="E3" s="3">
        <v>76767</v>
      </c>
      <c r="F3" s="3" t="s">
        <v>57</v>
      </c>
      <c r="G3" s="3" t="s">
        <v>58</v>
      </c>
      <c r="H3" s="3" t="s">
        <v>45</v>
      </c>
      <c r="I3" s="3" t="s">
        <v>59</v>
      </c>
      <c r="J3" s="3">
        <v>46191</v>
      </c>
      <c r="K3" s="3" t="s">
        <v>60</v>
      </c>
      <c r="L3" s="3" t="s">
        <v>61</v>
      </c>
      <c r="M3" s="3" t="s">
        <v>62</v>
      </c>
      <c r="N3" s="3" t="s">
        <v>63</v>
      </c>
      <c r="O3" s="3" t="s">
        <v>51</v>
      </c>
      <c r="P3" s="3" t="s">
        <v>52</v>
      </c>
      <c r="Q3" s="3" t="s">
        <v>53</v>
      </c>
      <c r="R3" s="3">
        <v>200</v>
      </c>
      <c r="S3" s="3">
        <v>7.0537999999999998</v>
      </c>
      <c r="T3" s="3">
        <v>1410.75</v>
      </c>
      <c r="U3" s="3">
        <v>0</v>
      </c>
      <c r="V3" s="3">
        <v>0</v>
      </c>
      <c r="W3" s="3">
        <v>0</v>
      </c>
      <c r="X3" s="3">
        <v>1271.0899999999999</v>
      </c>
      <c r="Y3" s="3">
        <v>12</v>
      </c>
      <c r="Z3" s="3">
        <v>0</v>
      </c>
      <c r="AA3" s="3">
        <v>152.53</v>
      </c>
      <c r="AB3" s="3">
        <v>43.87</v>
      </c>
      <c r="AC3" s="3">
        <v>0</v>
      </c>
      <c r="AD3" s="3">
        <v>42.73</v>
      </c>
      <c r="AE3" s="3">
        <f>(T3+U3+V3+W3)*(1+AD3%)</f>
        <v>2013.5634749999999</v>
      </c>
      <c r="AF3" s="3">
        <v>18</v>
      </c>
      <c r="AG3" s="3">
        <f>AE3*AF3%-AA3</f>
        <v>209.91142549999998</v>
      </c>
      <c r="AH3" s="3" t="s">
        <v>64</v>
      </c>
      <c r="AI3" s="3" t="s">
        <v>65</v>
      </c>
    </row>
    <row r="4" spans="1:35">
      <c r="A4" s="3" t="s">
        <v>56</v>
      </c>
      <c r="B4" s="3" t="s">
        <v>41</v>
      </c>
      <c r="C4" s="4">
        <v>45357</v>
      </c>
      <c r="D4" s="4">
        <v>45383</v>
      </c>
      <c r="E4" s="3">
        <v>76767</v>
      </c>
      <c r="F4" s="3" t="s">
        <v>57</v>
      </c>
      <c r="G4" s="3" t="s">
        <v>58</v>
      </c>
      <c r="H4" s="3" t="s">
        <v>45</v>
      </c>
      <c r="I4" s="3" t="s">
        <v>59</v>
      </c>
      <c r="J4" s="3">
        <v>46850</v>
      </c>
      <c r="K4" s="3" t="s">
        <v>66</v>
      </c>
      <c r="L4" s="3" t="s">
        <v>67</v>
      </c>
      <c r="M4" s="3" t="s">
        <v>49</v>
      </c>
      <c r="N4" s="3" t="s">
        <v>63</v>
      </c>
      <c r="O4" s="3" t="s">
        <v>51</v>
      </c>
      <c r="P4" s="3" t="s">
        <v>52</v>
      </c>
      <c r="Q4" s="3" t="s">
        <v>53</v>
      </c>
      <c r="R4" s="3">
        <v>2250</v>
      </c>
      <c r="S4" s="3">
        <v>6.1219000000000001</v>
      </c>
      <c r="T4" s="3">
        <v>13774.33</v>
      </c>
      <c r="U4" s="3">
        <v>0</v>
      </c>
      <c r="V4" s="3">
        <v>0</v>
      </c>
      <c r="W4" s="3">
        <v>0</v>
      </c>
      <c r="X4" s="3">
        <v>12410.67</v>
      </c>
      <c r="Y4" s="3">
        <v>12</v>
      </c>
      <c r="Z4" s="3">
        <v>0</v>
      </c>
      <c r="AA4" s="3">
        <v>1489.28</v>
      </c>
      <c r="AB4" s="3">
        <v>21.89</v>
      </c>
      <c r="AC4" s="3">
        <v>0</v>
      </c>
      <c r="AD4" s="3">
        <v>42.73</v>
      </c>
      <c r="AE4" s="3">
        <f>(T4+U4+V4+W4)*(1+AD4%)</f>
        <v>19660.101209</v>
      </c>
      <c r="AF4" s="3">
        <v>18</v>
      </c>
      <c r="AG4" s="3">
        <f>AE4*AF4%-AA4</f>
        <v>2049.5382176200001</v>
      </c>
      <c r="AH4" s="3" t="s">
        <v>64</v>
      </c>
      <c r="AI4" s="3" t="s">
        <v>68</v>
      </c>
    </row>
    <row r="7" spans="1:35" ht="14.5" thickBot="1"/>
    <row r="8" spans="1:35" ht="14.5" thickBot="1">
      <c r="P8" s="35" t="s">
        <v>237</v>
      </c>
      <c r="Q8" s="36"/>
      <c r="R8" s="36"/>
      <c r="S8" s="37"/>
    </row>
    <row r="9" spans="1:35">
      <c r="P9" s="29" t="s">
        <v>223</v>
      </c>
      <c r="Q9" s="29" t="s">
        <v>224</v>
      </c>
      <c r="R9" s="29" t="s">
        <v>225</v>
      </c>
      <c r="S9" s="30" t="s">
        <v>226</v>
      </c>
      <c r="T9" s="22" t="s">
        <v>227</v>
      </c>
      <c r="U9" s="22" t="s">
        <v>228</v>
      </c>
      <c r="V9" s="21" t="s">
        <v>229</v>
      </c>
      <c r="W9" s="22" t="s">
        <v>230</v>
      </c>
      <c r="X9" s="21" t="s">
        <v>30</v>
      </c>
      <c r="Y9" s="22" t="s">
        <v>39</v>
      </c>
      <c r="Z9" s="22" t="s">
        <v>231</v>
      </c>
      <c r="AA9" s="21" t="s">
        <v>232</v>
      </c>
      <c r="AB9" s="22" t="s">
        <v>233</v>
      </c>
      <c r="AC9" s="23" t="s">
        <v>234</v>
      </c>
      <c r="AD9" s="24"/>
    </row>
    <row r="10" spans="1:35">
      <c r="P10" s="25">
        <v>169978</v>
      </c>
      <c r="Q10" s="25" t="s">
        <v>235</v>
      </c>
      <c r="R10" s="25">
        <v>24</v>
      </c>
      <c r="S10" s="26">
        <v>8.9700000000000006</v>
      </c>
      <c r="T10" s="26">
        <v>215.28</v>
      </c>
      <c r="U10" s="26">
        <v>215.28</v>
      </c>
      <c r="V10" s="25">
        <v>12</v>
      </c>
      <c r="W10" s="26">
        <v>25.83</v>
      </c>
      <c r="X10" s="27">
        <v>80.61</v>
      </c>
      <c r="Y10" s="26">
        <v>17.13</v>
      </c>
      <c r="Z10" s="26">
        <f>Y10*R10</f>
        <v>411.12</v>
      </c>
      <c r="AA10" s="25">
        <v>25</v>
      </c>
      <c r="AB10" s="26">
        <f>Z10*AA10%-W10</f>
        <v>76.95</v>
      </c>
      <c r="AC10" s="28">
        <f>S10/Y10</f>
        <v>0.52364273204903689</v>
      </c>
      <c r="AD10" s="24" t="str">
        <f>IF(AC10&gt;=68%,"MVA","PMPF")</f>
        <v>PMPF</v>
      </c>
    </row>
    <row r="11" spans="1:35">
      <c r="P11" s="25">
        <v>170291</v>
      </c>
      <c r="Q11" s="25" t="s">
        <v>236</v>
      </c>
      <c r="R11" s="25">
        <v>24</v>
      </c>
      <c r="S11" s="26">
        <v>15.88</v>
      </c>
      <c r="T11" s="26">
        <v>381.12</v>
      </c>
      <c r="U11" s="26">
        <v>381.12</v>
      </c>
      <c r="V11" s="25">
        <v>12</v>
      </c>
      <c r="W11" s="26">
        <v>45.73</v>
      </c>
      <c r="X11" s="25">
        <v>80.61</v>
      </c>
      <c r="Y11" s="25">
        <v>20.399999999999999</v>
      </c>
      <c r="Z11" s="26">
        <f>T11*(1+X11%)</f>
        <v>688.34083199999998</v>
      </c>
      <c r="AA11" s="25">
        <v>25</v>
      </c>
      <c r="AB11" s="26">
        <f>Z11*AA11%-W11</f>
        <v>126.355208</v>
      </c>
      <c r="AC11" s="28">
        <f>S11/Y11</f>
        <v>0.77843137254901973</v>
      </c>
      <c r="AD11" s="24" t="str">
        <f>IF(AC11&gt;=68%,"MVA","PMPF")</f>
        <v>MVA</v>
      </c>
    </row>
  </sheetData>
  <mergeCells count="1">
    <mergeCell ref="P8:S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"/>
  <sheetViews>
    <sheetView topLeftCell="U1" workbookViewId="0">
      <selection activeCell="Z22" sqref="Z22"/>
    </sheetView>
  </sheetViews>
  <sheetFormatPr defaultRowHeight="14"/>
  <cols>
    <col min="1" max="1" width="12.58203125" bestFit="1" customWidth="1"/>
    <col min="2" max="2" width="9.08203125" bestFit="1" customWidth="1"/>
    <col min="3" max="3" width="14.6640625" bestFit="1" customWidth="1"/>
    <col min="4" max="4" width="14.1640625" bestFit="1" customWidth="1"/>
    <col min="5" max="5" width="13.1640625" bestFit="1" customWidth="1"/>
    <col min="6" max="6" width="45.5" bestFit="1" customWidth="1"/>
    <col min="7" max="7" width="16.5" bestFit="1" customWidth="1"/>
    <col min="8" max="8" width="3.1640625" bestFit="1" customWidth="1"/>
    <col min="9" max="9" width="46" bestFit="1" customWidth="1"/>
    <col min="10" max="10" width="12.58203125" bestFit="1" customWidth="1"/>
    <col min="11" max="11" width="32.58203125" bestFit="1" customWidth="1"/>
    <col min="12" max="12" width="14.08203125" bestFit="1" customWidth="1"/>
    <col min="13" max="13" width="9.58203125" bestFit="1" customWidth="1"/>
    <col min="14" max="14" width="11.1640625" bestFit="1" customWidth="1"/>
    <col min="15" max="15" width="13.5" bestFit="1" customWidth="1"/>
    <col min="16" max="16" width="5.58203125" bestFit="1" customWidth="1"/>
    <col min="17" max="17" width="8.5" bestFit="1" customWidth="1"/>
    <col min="18" max="18" width="10.6640625" bestFit="1" customWidth="1"/>
    <col min="19" max="19" width="12.4140625" bestFit="1" customWidth="1"/>
    <col min="20" max="20" width="9.6640625" bestFit="1" customWidth="1"/>
    <col min="21" max="21" width="3.1640625" bestFit="1" customWidth="1"/>
    <col min="22" max="22" width="5.08203125" bestFit="1" customWidth="1"/>
    <col min="23" max="23" width="3.4140625" bestFit="1" customWidth="1"/>
    <col min="24" max="24" width="5.4140625" bestFit="1" customWidth="1"/>
    <col min="25" max="25" width="19" bestFit="1" customWidth="1"/>
    <col min="26" max="27" width="15.1640625" bestFit="1" customWidth="1"/>
    <col min="28" max="28" width="10" bestFit="1" customWidth="1"/>
    <col min="29" max="29" width="6" bestFit="1" customWidth="1"/>
    <col min="30" max="30" width="4.58203125" bestFit="1" customWidth="1"/>
    <col min="31" max="31" width="5.58203125" bestFit="1" customWidth="1"/>
    <col min="32" max="32" width="23" bestFit="1" customWidth="1"/>
    <col min="33" max="33" width="16.58203125" bestFit="1" customWidth="1"/>
    <col min="34" max="34" width="14" bestFit="1" customWidth="1"/>
    <col min="35" max="35" width="15.4140625" bestFit="1" customWidth="1"/>
    <col min="36" max="36" width="9.08203125" bestFit="1" customWidth="1"/>
  </cols>
  <sheetData>
    <row r="1" spans="1:36">
      <c r="A1" s="1" t="s">
        <v>0</v>
      </c>
      <c r="B1" s="1" t="s">
        <v>1</v>
      </c>
      <c r="C1" s="2" t="s">
        <v>3</v>
      </c>
      <c r="D1" s="2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  <c r="V1" s="1" t="s">
        <v>22</v>
      </c>
      <c r="W1" s="1" t="s">
        <v>23</v>
      </c>
      <c r="X1" s="1" t="s">
        <v>24</v>
      </c>
      <c r="Y1" s="1" t="s">
        <v>25</v>
      </c>
      <c r="Z1" s="1" t="s">
        <v>26</v>
      </c>
      <c r="AA1" s="1" t="s">
        <v>27</v>
      </c>
      <c r="AB1" s="1" t="s">
        <v>28</v>
      </c>
      <c r="AC1" s="1" t="s">
        <v>29</v>
      </c>
      <c r="AD1" s="1" t="s">
        <v>30</v>
      </c>
      <c r="AE1" s="1" t="s">
        <v>39</v>
      </c>
      <c r="AF1" s="1" t="s">
        <v>34</v>
      </c>
      <c r="AG1" s="1" t="s">
        <v>35</v>
      </c>
      <c r="AH1" s="1" t="s">
        <v>36</v>
      </c>
      <c r="AI1" s="1" t="s">
        <v>37</v>
      </c>
      <c r="AJ1" s="1" t="s">
        <v>38</v>
      </c>
    </row>
    <row r="2" spans="1:36">
      <c r="A2" s="3" t="s">
        <v>120</v>
      </c>
      <c r="B2" s="3" t="s">
        <v>41</v>
      </c>
      <c r="C2" s="4">
        <v>45343</v>
      </c>
      <c r="D2" s="4">
        <v>45387</v>
      </c>
      <c r="E2" s="3">
        <v>48968</v>
      </c>
      <c r="F2" s="3" t="s">
        <v>121</v>
      </c>
      <c r="G2" s="3" t="s">
        <v>122</v>
      </c>
      <c r="H2" s="3" t="s">
        <v>123</v>
      </c>
      <c r="I2" s="3" t="s">
        <v>124</v>
      </c>
      <c r="J2" s="3">
        <v>32204</v>
      </c>
      <c r="K2" s="3" t="s">
        <v>125</v>
      </c>
      <c r="L2" s="3" t="s">
        <v>126</v>
      </c>
      <c r="M2" s="3" t="s">
        <v>127</v>
      </c>
      <c r="N2" s="3" t="s">
        <v>63</v>
      </c>
      <c r="O2" s="3" t="s">
        <v>51</v>
      </c>
      <c r="P2" s="3" t="s">
        <v>52</v>
      </c>
      <c r="Q2" s="3" t="s">
        <v>53</v>
      </c>
      <c r="R2" s="3">
        <v>96</v>
      </c>
      <c r="S2" s="3">
        <v>4.7504</v>
      </c>
      <c r="T2" s="3">
        <v>456.04</v>
      </c>
      <c r="U2" s="3">
        <v>0</v>
      </c>
      <c r="V2" s="3">
        <v>0</v>
      </c>
      <c r="W2" s="3">
        <v>0</v>
      </c>
      <c r="X2" s="3">
        <v>0</v>
      </c>
      <c r="Y2" s="3">
        <v>413.45</v>
      </c>
      <c r="Z2" s="3">
        <v>7</v>
      </c>
      <c r="AA2" s="3">
        <v>0</v>
      </c>
      <c r="AB2" s="3">
        <v>28.94</v>
      </c>
      <c r="AC2" s="3">
        <v>32.04</v>
      </c>
      <c r="AD2" s="3">
        <v>0</v>
      </c>
      <c r="AE2" s="3">
        <v>0</v>
      </c>
      <c r="AF2" s="3">
        <f>T2</f>
        <v>456.04</v>
      </c>
      <c r="AG2" s="3">
        <v>6</v>
      </c>
      <c r="AH2" s="3">
        <f>AF2*AG2%</f>
        <v>27.362400000000001</v>
      </c>
      <c r="AI2" s="3" t="s">
        <v>64</v>
      </c>
      <c r="AJ2" s="3" t="s">
        <v>68</v>
      </c>
    </row>
    <row r="3" spans="1:36">
      <c r="A3" s="3" t="s">
        <v>120</v>
      </c>
      <c r="B3" s="3" t="s">
        <v>41</v>
      </c>
      <c r="C3" s="4">
        <v>45343</v>
      </c>
      <c r="D3" s="4">
        <v>45387</v>
      </c>
      <c r="E3" s="3">
        <v>48968</v>
      </c>
      <c r="F3" s="3" t="s">
        <v>121</v>
      </c>
      <c r="G3" s="3" t="s">
        <v>122</v>
      </c>
      <c r="H3" s="3" t="s">
        <v>123</v>
      </c>
      <c r="I3" s="3" t="s">
        <v>124</v>
      </c>
      <c r="J3" s="3">
        <v>72001</v>
      </c>
      <c r="K3" s="3" t="s">
        <v>128</v>
      </c>
      <c r="L3" s="3" t="s">
        <v>129</v>
      </c>
      <c r="M3" s="3" t="s">
        <v>49</v>
      </c>
      <c r="N3" s="3" t="s">
        <v>63</v>
      </c>
      <c r="O3" s="3" t="s">
        <v>51</v>
      </c>
      <c r="P3" s="3" t="s">
        <v>52</v>
      </c>
      <c r="Q3" s="3" t="s">
        <v>53</v>
      </c>
      <c r="R3" s="3">
        <v>192</v>
      </c>
      <c r="S3" s="3">
        <v>3.4946999999999999</v>
      </c>
      <c r="T3" s="3">
        <v>670.98</v>
      </c>
      <c r="U3" s="3">
        <v>0</v>
      </c>
      <c r="V3" s="3">
        <v>0</v>
      </c>
      <c r="W3" s="3">
        <v>0</v>
      </c>
      <c r="X3" s="3">
        <v>0</v>
      </c>
      <c r="Y3" s="3">
        <v>608.30999999999995</v>
      </c>
      <c r="Z3" s="3">
        <v>7</v>
      </c>
      <c r="AA3" s="3">
        <v>0</v>
      </c>
      <c r="AB3" s="3">
        <v>42.58</v>
      </c>
      <c r="AC3" s="3">
        <v>23.49</v>
      </c>
      <c r="AD3" s="3">
        <v>0</v>
      </c>
      <c r="AE3" s="3">
        <v>0</v>
      </c>
      <c r="AF3" s="3">
        <f>T3</f>
        <v>670.98</v>
      </c>
      <c r="AG3" s="3">
        <v>6</v>
      </c>
      <c r="AH3" s="3">
        <f>AF3*AG3%</f>
        <v>40.258800000000001</v>
      </c>
      <c r="AI3" s="3" t="s">
        <v>64</v>
      </c>
      <c r="AJ3" s="3" t="s">
        <v>68</v>
      </c>
    </row>
    <row r="4" spans="1:36">
      <c r="A4" s="3" t="s">
        <v>130</v>
      </c>
      <c r="B4" s="3" t="s">
        <v>41</v>
      </c>
      <c r="C4" s="4">
        <v>45344</v>
      </c>
      <c r="D4" s="4">
        <v>45408</v>
      </c>
      <c r="E4" s="3">
        <v>365467</v>
      </c>
      <c r="F4" s="3" t="s">
        <v>131</v>
      </c>
      <c r="G4" s="3" t="s">
        <v>132</v>
      </c>
      <c r="H4" s="3" t="s">
        <v>133</v>
      </c>
      <c r="I4" s="3" t="s">
        <v>134</v>
      </c>
      <c r="J4" s="3">
        <v>151262</v>
      </c>
      <c r="K4" s="3" t="s">
        <v>135</v>
      </c>
      <c r="L4" s="3" t="s">
        <v>136</v>
      </c>
      <c r="M4" s="3" t="s">
        <v>137</v>
      </c>
      <c r="N4" s="3" t="s">
        <v>63</v>
      </c>
      <c r="O4" s="3" t="s">
        <v>51</v>
      </c>
      <c r="P4" s="3" t="s">
        <v>52</v>
      </c>
      <c r="Q4" s="3" t="s">
        <v>53</v>
      </c>
      <c r="R4" s="3">
        <v>960</v>
      </c>
      <c r="S4" s="3">
        <v>19.68</v>
      </c>
      <c r="T4" s="3">
        <v>18892.8</v>
      </c>
      <c r="U4" s="3">
        <v>0</v>
      </c>
      <c r="V4" s="3">
        <v>0</v>
      </c>
      <c r="W4" s="3">
        <v>0</v>
      </c>
      <c r="X4" s="3">
        <v>0</v>
      </c>
      <c r="Y4" s="3">
        <v>18892.8</v>
      </c>
      <c r="Z4" s="3">
        <v>12</v>
      </c>
      <c r="AA4" s="3">
        <v>0</v>
      </c>
      <c r="AB4" s="3">
        <v>2267.14</v>
      </c>
      <c r="AC4" s="3">
        <v>35.68</v>
      </c>
      <c r="AD4" s="3">
        <v>0</v>
      </c>
      <c r="AE4" s="3">
        <v>0</v>
      </c>
      <c r="AF4" s="3">
        <f>T4</f>
        <v>18892.8</v>
      </c>
      <c r="AG4" s="3">
        <v>9</v>
      </c>
      <c r="AH4" s="3">
        <f>AF4*AG4%</f>
        <v>1700.3519999999999</v>
      </c>
      <c r="AI4" s="3" t="s">
        <v>138</v>
      </c>
      <c r="AJ4" s="3" t="s">
        <v>139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"/>
  <sheetViews>
    <sheetView workbookViewId="0">
      <selection activeCell="Z25" sqref="Z25"/>
    </sheetView>
  </sheetViews>
  <sheetFormatPr defaultRowHeight="14"/>
  <cols>
    <col min="1" max="1" width="12.58203125" bestFit="1" customWidth="1"/>
    <col min="2" max="2" width="9.08203125" bestFit="1" customWidth="1"/>
    <col min="3" max="3" width="14.6640625" bestFit="1" customWidth="1"/>
    <col min="4" max="4" width="14.1640625" bestFit="1" customWidth="1"/>
    <col min="5" max="5" width="13.1640625" bestFit="1" customWidth="1"/>
    <col min="6" max="6" width="36" bestFit="1" customWidth="1"/>
    <col min="7" max="7" width="16.5" bestFit="1" customWidth="1"/>
    <col min="8" max="8" width="3.1640625" bestFit="1" customWidth="1"/>
    <col min="9" max="9" width="46" bestFit="1" customWidth="1"/>
    <col min="10" max="10" width="12.58203125" bestFit="1" customWidth="1"/>
    <col min="11" max="11" width="37.5" bestFit="1" customWidth="1"/>
    <col min="12" max="12" width="14.08203125" bestFit="1" customWidth="1"/>
    <col min="13" max="13" width="9.58203125" bestFit="1" customWidth="1"/>
    <col min="14" max="14" width="11.1640625" bestFit="1" customWidth="1"/>
    <col min="15" max="15" width="13.5" bestFit="1" customWidth="1"/>
    <col min="16" max="16" width="5.58203125" bestFit="1" customWidth="1"/>
    <col min="17" max="17" width="8.5" bestFit="1" customWidth="1"/>
    <col min="18" max="18" width="10.6640625" bestFit="1" customWidth="1"/>
    <col min="19" max="19" width="12.4140625" bestFit="1" customWidth="1"/>
    <col min="20" max="20" width="9.6640625" bestFit="1" customWidth="1"/>
    <col min="21" max="21" width="3.1640625" bestFit="1" customWidth="1"/>
    <col min="22" max="22" width="5" bestFit="1" customWidth="1"/>
    <col min="23" max="23" width="5.4140625" bestFit="1" customWidth="1"/>
    <col min="24" max="24" width="19" bestFit="1" customWidth="1"/>
    <col min="25" max="26" width="15.1640625" bestFit="1" customWidth="1"/>
    <col min="27" max="27" width="10" bestFit="1" customWidth="1"/>
    <col min="28" max="29" width="6" bestFit="1" customWidth="1"/>
    <col min="30" max="30" width="16.5" bestFit="1" customWidth="1"/>
    <col min="31" max="31" width="10.4140625" bestFit="1" customWidth="1"/>
    <col min="32" max="32" width="11" bestFit="1" customWidth="1"/>
    <col min="33" max="33" width="18.5" bestFit="1" customWidth="1"/>
    <col min="34" max="34" width="9.08203125" bestFit="1" customWidth="1"/>
  </cols>
  <sheetData>
    <row r="1" spans="1:34">
      <c r="A1" s="1" t="s">
        <v>0</v>
      </c>
      <c r="B1" s="1" t="s">
        <v>1</v>
      </c>
      <c r="C1" s="2" t="s">
        <v>3</v>
      </c>
      <c r="D1" s="2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  <c r="V1" s="1" t="s">
        <v>23</v>
      </c>
      <c r="W1" s="1" t="s">
        <v>24</v>
      </c>
      <c r="X1" s="1" t="s">
        <v>25</v>
      </c>
      <c r="Y1" s="1" t="s">
        <v>26</v>
      </c>
      <c r="Z1" s="1" t="s">
        <v>27</v>
      </c>
      <c r="AA1" s="1" t="s">
        <v>28</v>
      </c>
      <c r="AB1" s="1" t="s">
        <v>29</v>
      </c>
      <c r="AC1" s="1" t="s">
        <v>30</v>
      </c>
      <c r="AD1" s="1" t="s">
        <v>99</v>
      </c>
      <c r="AE1" s="1" t="s">
        <v>100</v>
      </c>
      <c r="AF1" s="1" t="s">
        <v>101</v>
      </c>
      <c r="AG1" s="1" t="s">
        <v>37</v>
      </c>
      <c r="AH1" s="1" t="s">
        <v>38</v>
      </c>
    </row>
    <row r="2" spans="1:34">
      <c r="A2" s="3" t="s">
        <v>102</v>
      </c>
      <c r="B2" s="3" t="s">
        <v>103</v>
      </c>
      <c r="C2" s="4">
        <v>45383</v>
      </c>
      <c r="D2" s="4">
        <v>45383</v>
      </c>
      <c r="E2" s="3">
        <v>365408</v>
      </c>
      <c r="F2" s="3" t="s">
        <v>105</v>
      </c>
      <c r="G2" s="3" t="s">
        <v>106</v>
      </c>
      <c r="H2" s="3" t="s">
        <v>107</v>
      </c>
      <c r="I2" s="3" t="s">
        <v>108</v>
      </c>
      <c r="J2" s="3">
        <v>6831</v>
      </c>
      <c r="K2" s="3" t="s">
        <v>109</v>
      </c>
      <c r="L2" s="3" t="s">
        <v>110</v>
      </c>
      <c r="M2" s="3" t="s">
        <v>111</v>
      </c>
      <c r="N2" s="3" t="s">
        <v>50</v>
      </c>
      <c r="O2" s="3" t="s">
        <v>51</v>
      </c>
      <c r="P2" s="3" t="s">
        <v>112</v>
      </c>
      <c r="Q2" s="3" t="s">
        <v>53</v>
      </c>
      <c r="R2" s="3">
        <v>12</v>
      </c>
      <c r="S2" s="3">
        <v>3.39</v>
      </c>
      <c r="T2" s="3">
        <v>40.68</v>
      </c>
      <c r="U2" s="3">
        <v>0</v>
      </c>
      <c r="V2" s="3">
        <v>4.3499999999999996</v>
      </c>
      <c r="W2" s="3">
        <v>0</v>
      </c>
      <c r="X2" s="3">
        <f>T2+V2</f>
        <v>45.03</v>
      </c>
      <c r="Y2" s="3">
        <v>20.5</v>
      </c>
      <c r="Z2" s="3">
        <v>0</v>
      </c>
      <c r="AA2" s="3">
        <f>X2*Y2%</f>
        <v>9.2311499999999995</v>
      </c>
      <c r="AB2" s="3">
        <v>11.35</v>
      </c>
      <c r="AC2" s="3">
        <v>22.94</v>
      </c>
      <c r="AD2" s="3">
        <f>(T2+V2)*(1+AC2%)</f>
        <v>55.359882000000006</v>
      </c>
      <c r="AE2" s="3">
        <v>20.5</v>
      </c>
      <c r="AF2" s="3">
        <f>AD2*AE2%-AA2</f>
        <v>2.1176258100000016</v>
      </c>
      <c r="AG2" s="3" t="s">
        <v>113</v>
      </c>
      <c r="AH2" s="3" t="s">
        <v>55</v>
      </c>
    </row>
    <row r="3" spans="1:34">
      <c r="A3" s="3" t="s">
        <v>102</v>
      </c>
      <c r="B3" s="3" t="s">
        <v>103</v>
      </c>
      <c r="C3" s="4">
        <v>45383</v>
      </c>
      <c r="D3" s="4">
        <v>45383</v>
      </c>
      <c r="E3" s="3">
        <v>365408</v>
      </c>
      <c r="F3" s="3" t="s">
        <v>105</v>
      </c>
      <c r="G3" s="3" t="s">
        <v>106</v>
      </c>
      <c r="H3" s="3" t="s">
        <v>107</v>
      </c>
      <c r="I3" s="3" t="s">
        <v>108</v>
      </c>
      <c r="J3" s="3">
        <v>83224</v>
      </c>
      <c r="K3" s="3" t="s">
        <v>114</v>
      </c>
      <c r="L3" s="3" t="s">
        <v>115</v>
      </c>
      <c r="M3" s="3" t="s">
        <v>116</v>
      </c>
      <c r="N3" s="3" t="s">
        <v>63</v>
      </c>
      <c r="O3" s="3" t="s">
        <v>51</v>
      </c>
      <c r="P3" s="3" t="s">
        <v>112</v>
      </c>
      <c r="Q3" s="3" t="s">
        <v>53</v>
      </c>
      <c r="R3" s="3">
        <v>30</v>
      </c>
      <c r="S3" s="3">
        <v>1.63</v>
      </c>
      <c r="T3" s="3">
        <v>48.9</v>
      </c>
      <c r="U3" s="3">
        <v>0</v>
      </c>
      <c r="V3" s="3">
        <v>5.23</v>
      </c>
      <c r="W3" s="3">
        <v>0</v>
      </c>
      <c r="X3" s="3">
        <f>T3+V3</f>
        <v>54.129999999999995</v>
      </c>
      <c r="Y3" s="3">
        <v>20.5</v>
      </c>
      <c r="Z3" s="3">
        <v>0</v>
      </c>
      <c r="AA3" s="3">
        <f>X3*Y3%</f>
        <v>11.096649999999999</v>
      </c>
      <c r="AB3" s="3">
        <v>10.61</v>
      </c>
      <c r="AC3" s="3">
        <v>22.94</v>
      </c>
      <c r="AD3" s="3">
        <f>(T3+V3)*(1+AC3%)</f>
        <v>66.547421999999997</v>
      </c>
      <c r="AE3" s="3">
        <v>20.5</v>
      </c>
      <c r="AF3" s="3">
        <f>AD3*AE3%-AA3</f>
        <v>2.5455715100000003</v>
      </c>
      <c r="AG3" s="3" t="s">
        <v>64</v>
      </c>
      <c r="AH3" s="3" t="s">
        <v>68</v>
      </c>
    </row>
    <row r="4" spans="1:34">
      <c r="A4" s="3" t="s">
        <v>102</v>
      </c>
      <c r="B4" s="3" t="s">
        <v>103</v>
      </c>
      <c r="C4" s="4">
        <v>45383</v>
      </c>
      <c r="D4" s="4">
        <v>45383</v>
      </c>
      <c r="E4" s="3">
        <v>365408</v>
      </c>
      <c r="F4" s="3" t="s">
        <v>105</v>
      </c>
      <c r="G4" s="3" t="s">
        <v>106</v>
      </c>
      <c r="H4" s="3" t="s">
        <v>107</v>
      </c>
      <c r="I4" s="3" t="s">
        <v>108</v>
      </c>
      <c r="J4" s="3">
        <v>192813</v>
      </c>
      <c r="K4" s="3" t="s">
        <v>117</v>
      </c>
      <c r="L4" s="3" t="s">
        <v>118</v>
      </c>
      <c r="M4" s="3" t="s">
        <v>119</v>
      </c>
      <c r="N4" s="3" t="s">
        <v>63</v>
      </c>
      <c r="O4" s="3" t="s">
        <v>51</v>
      </c>
      <c r="P4" s="3" t="s">
        <v>112</v>
      </c>
      <c r="Q4" s="3" t="s">
        <v>86</v>
      </c>
      <c r="R4" s="3">
        <v>6</v>
      </c>
      <c r="S4" s="3">
        <v>3.7</v>
      </c>
      <c r="T4" s="3">
        <v>22.2</v>
      </c>
      <c r="U4" s="3">
        <v>0</v>
      </c>
      <c r="V4" s="3">
        <v>2.38</v>
      </c>
      <c r="W4" s="3">
        <v>0</v>
      </c>
      <c r="X4" s="3">
        <f>T4+V4</f>
        <v>24.58</v>
      </c>
      <c r="Y4" s="3">
        <v>20.5</v>
      </c>
      <c r="Z4" s="3">
        <v>0</v>
      </c>
      <c r="AA4" s="3">
        <f>X4*Y4%</f>
        <v>5.038899999999999</v>
      </c>
      <c r="AB4" s="3">
        <v>27.57</v>
      </c>
      <c r="AC4" s="3">
        <v>22.94</v>
      </c>
      <c r="AD4" s="3">
        <f>(T4+V4)*(1+AC4%)</f>
        <v>30.218651999999999</v>
      </c>
      <c r="AE4" s="3">
        <v>20.5</v>
      </c>
      <c r="AF4" s="3">
        <f>AD4*AE4%-AA4</f>
        <v>1.15592366</v>
      </c>
      <c r="AG4" s="3" t="s">
        <v>96</v>
      </c>
      <c r="AH4" s="3" t="s">
        <v>97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"/>
  <sheetViews>
    <sheetView topLeftCell="O1" workbookViewId="0">
      <selection sqref="A1:XFD1048576"/>
    </sheetView>
  </sheetViews>
  <sheetFormatPr defaultRowHeight="14"/>
  <cols>
    <col min="1" max="1" width="12.58203125" bestFit="1" customWidth="1"/>
    <col min="2" max="2" width="9.08203125" bestFit="1" customWidth="1"/>
    <col min="3" max="3" width="11.08203125" bestFit="1" customWidth="1"/>
    <col min="4" max="4" width="14.6640625" bestFit="1" customWidth="1"/>
    <col min="5" max="5" width="14.1640625" bestFit="1" customWidth="1"/>
    <col min="6" max="6" width="13.1640625" bestFit="1" customWidth="1"/>
    <col min="7" max="7" width="48.4140625" bestFit="1" customWidth="1"/>
    <col min="8" max="8" width="16.5" bestFit="1" customWidth="1"/>
    <col min="9" max="9" width="3.1640625" bestFit="1" customWidth="1"/>
    <col min="10" max="10" width="46" bestFit="1" customWidth="1"/>
    <col min="11" max="11" width="12.58203125" bestFit="1" customWidth="1"/>
    <col min="12" max="12" width="32.5" bestFit="1" customWidth="1"/>
    <col min="13" max="13" width="14.08203125" bestFit="1" customWidth="1"/>
    <col min="14" max="14" width="9.58203125" bestFit="1" customWidth="1"/>
    <col min="15" max="15" width="22.08203125" bestFit="1" customWidth="1"/>
    <col min="16" max="16" width="11.58203125" bestFit="1" customWidth="1"/>
    <col min="17" max="17" width="5.58203125" bestFit="1" customWidth="1"/>
    <col min="18" max="18" width="8.5" bestFit="1" customWidth="1"/>
    <col min="19" max="19" width="10.6640625" bestFit="1" customWidth="1"/>
    <col min="20" max="20" width="12.4140625" bestFit="1" customWidth="1"/>
    <col min="21" max="21" width="9.6640625" bestFit="1" customWidth="1"/>
    <col min="22" max="22" width="3.1640625" bestFit="1" customWidth="1"/>
    <col min="23" max="23" width="3.4140625" bestFit="1" customWidth="1"/>
    <col min="24" max="24" width="5.4140625" bestFit="1" customWidth="1"/>
    <col min="25" max="25" width="19" bestFit="1" customWidth="1"/>
    <col min="26" max="27" width="15.1640625" bestFit="1" customWidth="1"/>
    <col min="28" max="28" width="10" bestFit="1" customWidth="1"/>
    <col min="29" max="29" width="4.6640625" bestFit="1" customWidth="1"/>
    <col min="30" max="30" width="6" bestFit="1" customWidth="1"/>
    <col min="31" max="31" width="16.5" bestFit="1" customWidth="1"/>
    <col min="32" max="32" width="10.4140625" bestFit="1" customWidth="1"/>
    <col min="33" max="33" width="10" bestFit="1" customWidth="1"/>
    <col min="34" max="34" width="21.4140625" bestFit="1" customWidth="1"/>
    <col min="35" max="35" width="9.08203125" bestFit="1" customWidth="1"/>
  </cols>
  <sheetData>
    <row r="1" spans="1: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23</v>
      </c>
      <c r="X1" s="1" t="s">
        <v>24</v>
      </c>
      <c r="Y1" s="1" t="s">
        <v>25</v>
      </c>
      <c r="Z1" s="1" t="s">
        <v>26</v>
      </c>
      <c r="AA1" s="1" t="s">
        <v>27</v>
      </c>
      <c r="AB1" s="1" t="s">
        <v>28</v>
      </c>
      <c r="AC1" s="1" t="s">
        <v>29</v>
      </c>
      <c r="AD1" s="1" t="s">
        <v>30</v>
      </c>
      <c r="AE1" s="1" t="s">
        <v>99</v>
      </c>
      <c r="AF1" s="1" t="s">
        <v>100</v>
      </c>
      <c r="AG1" s="1" t="s">
        <v>101</v>
      </c>
      <c r="AH1" s="1" t="s">
        <v>37</v>
      </c>
      <c r="AI1" s="1" t="s">
        <v>38</v>
      </c>
    </row>
    <row r="2" spans="1:35">
      <c r="A2" s="3" t="s">
        <v>140</v>
      </c>
      <c r="B2" s="3" t="s">
        <v>103</v>
      </c>
      <c r="C2" s="3" t="s">
        <v>104</v>
      </c>
      <c r="D2" s="4">
        <v>45407</v>
      </c>
      <c r="E2" s="4">
        <v>45407</v>
      </c>
      <c r="F2" s="3">
        <v>180726</v>
      </c>
      <c r="G2" s="3" t="s">
        <v>141</v>
      </c>
      <c r="H2" s="3" t="s">
        <v>142</v>
      </c>
      <c r="I2" s="3" t="s">
        <v>107</v>
      </c>
      <c r="J2" s="3" t="s">
        <v>143</v>
      </c>
      <c r="K2" s="3">
        <v>81868</v>
      </c>
      <c r="L2" s="3" t="s">
        <v>144</v>
      </c>
      <c r="M2" s="3" t="s">
        <v>145</v>
      </c>
      <c r="N2" s="3" t="s">
        <v>146</v>
      </c>
      <c r="O2" s="3" t="s">
        <v>147</v>
      </c>
      <c r="P2" s="3" t="s">
        <v>98</v>
      </c>
      <c r="Q2" s="3" t="s">
        <v>112</v>
      </c>
      <c r="R2" s="3" t="s">
        <v>53</v>
      </c>
      <c r="S2" s="3">
        <v>2</v>
      </c>
      <c r="T2" s="3">
        <v>17.95</v>
      </c>
      <c r="U2" s="3">
        <v>35.9</v>
      </c>
      <c r="V2" s="3">
        <v>0</v>
      </c>
      <c r="W2" s="3">
        <v>0</v>
      </c>
      <c r="X2" s="3">
        <v>0</v>
      </c>
      <c r="Y2" s="3">
        <f>U2+W2</f>
        <v>35.9</v>
      </c>
      <c r="Z2" s="3">
        <v>25</v>
      </c>
      <c r="AA2" s="3">
        <v>0</v>
      </c>
      <c r="AB2" s="3">
        <f>Y2*Z2%</f>
        <v>8.9749999999999996</v>
      </c>
      <c r="AC2" s="3">
        <v>0</v>
      </c>
      <c r="AD2" s="3">
        <v>57.89</v>
      </c>
      <c r="AE2" s="3">
        <f>(U2+W2)*(1+AD2%)</f>
        <v>56.682509999999994</v>
      </c>
      <c r="AF2" s="3">
        <v>25</v>
      </c>
      <c r="AG2" s="3">
        <f>AE2*AF2%-AB2</f>
        <v>5.1956274999999987</v>
      </c>
      <c r="AH2" s="3" t="s">
        <v>148</v>
      </c>
      <c r="AI2" s="3" t="s">
        <v>149</v>
      </c>
    </row>
    <row r="3" spans="1:35">
      <c r="A3" s="3" t="s">
        <v>150</v>
      </c>
      <c r="B3" s="3" t="s">
        <v>103</v>
      </c>
      <c r="C3" s="3" t="s">
        <v>104</v>
      </c>
      <c r="D3" s="4">
        <v>45390</v>
      </c>
      <c r="E3" s="4">
        <v>45390</v>
      </c>
      <c r="F3" s="3">
        <v>180769</v>
      </c>
      <c r="G3" s="3" t="s">
        <v>151</v>
      </c>
      <c r="H3" s="3" t="s">
        <v>152</v>
      </c>
      <c r="I3" s="3" t="s">
        <v>107</v>
      </c>
      <c r="J3" s="3" t="s">
        <v>153</v>
      </c>
      <c r="K3" s="3">
        <v>160067</v>
      </c>
      <c r="L3" s="3" t="s">
        <v>154</v>
      </c>
      <c r="M3" s="3" t="s">
        <v>155</v>
      </c>
      <c r="N3" s="3" t="s">
        <v>156</v>
      </c>
      <c r="O3" s="3" t="s">
        <v>147</v>
      </c>
      <c r="P3" s="3" t="s">
        <v>98</v>
      </c>
      <c r="Q3" s="3" t="s">
        <v>112</v>
      </c>
      <c r="R3" s="3" t="s">
        <v>53</v>
      </c>
      <c r="S3" s="3">
        <v>3</v>
      </c>
      <c r="T3" s="3">
        <v>8.84</v>
      </c>
      <c r="U3" s="3">
        <v>26.52</v>
      </c>
      <c r="V3" s="3">
        <v>0</v>
      </c>
      <c r="W3" s="3">
        <v>0</v>
      </c>
      <c r="X3" s="3">
        <v>0</v>
      </c>
      <c r="Y3" s="3">
        <f>U3+W3</f>
        <v>26.52</v>
      </c>
      <c r="Z3" s="3">
        <v>25</v>
      </c>
      <c r="AA3" s="3">
        <v>0</v>
      </c>
      <c r="AB3" s="3">
        <f>Y3*Z3%</f>
        <v>6.63</v>
      </c>
      <c r="AC3" s="3">
        <v>100</v>
      </c>
      <c r="AD3" s="3">
        <v>31.78</v>
      </c>
      <c r="AE3" s="3">
        <f>(U3+W3)*(1+AD3%)</f>
        <v>34.948056000000001</v>
      </c>
      <c r="AF3" s="3">
        <v>25</v>
      </c>
      <c r="AG3" s="3">
        <f>AE3*AF3%-AB3</f>
        <v>2.1070140000000004</v>
      </c>
      <c r="AH3" s="3" t="s">
        <v>157</v>
      </c>
      <c r="AI3" s="3" t="s">
        <v>158</v>
      </c>
    </row>
    <row r="4" spans="1:35">
      <c r="A4" s="3" t="s">
        <v>159</v>
      </c>
      <c r="B4" s="3" t="s">
        <v>103</v>
      </c>
      <c r="C4" s="3" t="s">
        <v>104</v>
      </c>
      <c r="D4" s="4">
        <v>45405</v>
      </c>
      <c r="E4" s="4">
        <v>45405</v>
      </c>
      <c r="F4" s="3">
        <v>182737</v>
      </c>
      <c r="G4" s="3" t="s">
        <v>160</v>
      </c>
      <c r="H4" s="3" t="s">
        <v>161</v>
      </c>
      <c r="I4" s="3" t="s">
        <v>107</v>
      </c>
      <c r="J4" s="3" t="s">
        <v>162</v>
      </c>
      <c r="K4" s="3">
        <v>98000</v>
      </c>
      <c r="L4" s="3" t="s">
        <v>163</v>
      </c>
      <c r="M4" s="3" t="s">
        <v>164</v>
      </c>
      <c r="N4" s="3" t="s">
        <v>146</v>
      </c>
      <c r="O4" s="3" t="s">
        <v>147</v>
      </c>
      <c r="P4" s="3" t="s">
        <v>98</v>
      </c>
      <c r="Q4" s="3" t="s">
        <v>112</v>
      </c>
      <c r="R4" s="3" t="s">
        <v>53</v>
      </c>
      <c r="S4" s="3">
        <v>2</v>
      </c>
      <c r="T4" s="3">
        <v>9.52</v>
      </c>
      <c r="U4" s="3">
        <v>19.04</v>
      </c>
      <c r="V4" s="3">
        <v>0</v>
      </c>
      <c r="W4" s="3">
        <v>0</v>
      </c>
      <c r="X4" s="3">
        <v>0</v>
      </c>
      <c r="Y4" s="3">
        <f>U4+W4</f>
        <v>19.04</v>
      </c>
      <c r="Z4" s="3">
        <v>25</v>
      </c>
      <c r="AA4" s="3">
        <v>0</v>
      </c>
      <c r="AB4" s="3">
        <f>Y4*Z4%</f>
        <v>4.76</v>
      </c>
      <c r="AC4" s="3">
        <v>0</v>
      </c>
      <c r="AD4" s="3">
        <v>57.89</v>
      </c>
      <c r="AE4" s="3">
        <f>(U4+W4)*(1+AD4%)</f>
        <v>30.062255999999998</v>
      </c>
      <c r="AF4" s="3">
        <v>25</v>
      </c>
      <c r="AG4" s="3">
        <f>AE4*AF4%-AB4</f>
        <v>2.7555639999999997</v>
      </c>
      <c r="AH4" s="3" t="s">
        <v>148</v>
      </c>
      <c r="AI4" s="3" t="s">
        <v>149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"/>
  <sheetViews>
    <sheetView topLeftCell="U1" workbookViewId="0">
      <selection activeCell="AH3" sqref="AH3"/>
    </sheetView>
  </sheetViews>
  <sheetFormatPr defaultRowHeight="14"/>
  <cols>
    <col min="1" max="1" width="12.58203125" bestFit="1" customWidth="1"/>
    <col min="2" max="2" width="9.08203125" bestFit="1" customWidth="1"/>
    <col min="3" max="3" width="11.08203125" bestFit="1" customWidth="1"/>
    <col min="4" max="4" width="14.6640625" bestFit="1" customWidth="1"/>
    <col min="5" max="5" width="14.1640625" bestFit="1" customWidth="1"/>
    <col min="6" max="6" width="13.1640625" bestFit="1" customWidth="1"/>
    <col min="7" max="7" width="40.5" bestFit="1" customWidth="1"/>
    <col min="8" max="8" width="16.5" bestFit="1" customWidth="1"/>
    <col min="9" max="9" width="3.1640625" bestFit="1" customWidth="1"/>
    <col min="10" max="10" width="46" bestFit="1" customWidth="1"/>
    <col min="11" max="11" width="12.58203125" bestFit="1" customWidth="1"/>
    <col min="12" max="12" width="29.5" bestFit="1" customWidth="1"/>
    <col min="13" max="13" width="14.08203125" bestFit="1" customWidth="1"/>
    <col min="14" max="14" width="9.58203125" bestFit="1" customWidth="1"/>
    <col min="15" max="15" width="11.1640625" bestFit="1" customWidth="1"/>
    <col min="16" max="16" width="13.5" bestFit="1" customWidth="1"/>
    <col min="17" max="17" width="5.58203125" bestFit="1" customWidth="1"/>
    <col min="18" max="18" width="8.5" bestFit="1" customWidth="1"/>
    <col min="19" max="19" width="10.6640625" bestFit="1" customWidth="1"/>
    <col min="20" max="20" width="12.4140625" bestFit="1" customWidth="1"/>
    <col min="21" max="21" width="9.6640625" bestFit="1" customWidth="1"/>
    <col min="22" max="22" width="3.1640625" bestFit="1" customWidth="1"/>
    <col min="23" max="23" width="5" bestFit="1" customWidth="1"/>
    <col min="24" max="24" width="5.4140625" bestFit="1" customWidth="1"/>
    <col min="25" max="25" width="19" bestFit="1" customWidth="1"/>
    <col min="26" max="27" width="15.1640625" bestFit="1" customWidth="1"/>
    <col min="28" max="28" width="10" bestFit="1" customWidth="1"/>
    <col min="29" max="29" width="6" bestFit="1" customWidth="1"/>
    <col min="30" max="30" width="4.58203125" bestFit="1" customWidth="1"/>
    <col min="31" max="31" width="16.5" bestFit="1" customWidth="1"/>
    <col min="32" max="32" width="10.4140625" bestFit="1" customWidth="1"/>
    <col min="33" max="33" width="7.58203125" bestFit="1" customWidth="1"/>
    <col min="34" max="34" width="12.5" style="17" bestFit="1" customWidth="1"/>
    <col min="35" max="35" width="12" bestFit="1" customWidth="1"/>
    <col min="36" max="36" width="9.4140625" style="17" bestFit="1" customWidth="1"/>
    <col min="37" max="37" width="14.9140625" bestFit="1" customWidth="1"/>
    <col min="38" max="38" width="9.08203125" bestFit="1" customWidth="1"/>
  </cols>
  <sheetData>
    <row r="1" spans="1:3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23</v>
      </c>
      <c r="X1" s="5" t="s">
        <v>24</v>
      </c>
      <c r="Y1" s="5" t="s">
        <v>25</v>
      </c>
      <c r="Z1" s="5" t="s">
        <v>26</v>
      </c>
      <c r="AA1" s="5" t="s">
        <v>27</v>
      </c>
      <c r="AB1" s="5" t="s">
        <v>28</v>
      </c>
      <c r="AC1" s="5" t="s">
        <v>29</v>
      </c>
      <c r="AD1" s="5" t="s">
        <v>30</v>
      </c>
      <c r="AE1" s="5" t="s">
        <v>99</v>
      </c>
      <c r="AF1" s="5" t="s">
        <v>100</v>
      </c>
      <c r="AG1" s="5" t="s">
        <v>101</v>
      </c>
      <c r="AH1" s="5" t="s">
        <v>182</v>
      </c>
      <c r="AI1" s="5" t="s">
        <v>183</v>
      </c>
      <c r="AJ1" s="20" t="s">
        <v>184</v>
      </c>
      <c r="AK1" s="5" t="s">
        <v>37</v>
      </c>
      <c r="AL1" s="5" t="s">
        <v>38</v>
      </c>
    </row>
    <row r="2" spans="1:38" s="11" customFormat="1">
      <c r="A2" s="12" t="s">
        <v>185</v>
      </c>
      <c r="B2" s="12" t="s">
        <v>103</v>
      </c>
      <c r="C2" s="12" t="s">
        <v>104</v>
      </c>
      <c r="D2" s="13">
        <v>45383</v>
      </c>
      <c r="E2" s="13">
        <v>45383</v>
      </c>
      <c r="F2" s="12">
        <v>302554</v>
      </c>
      <c r="G2" s="12" t="s">
        <v>186</v>
      </c>
      <c r="H2" s="12" t="s">
        <v>187</v>
      </c>
      <c r="I2" s="12" t="s">
        <v>188</v>
      </c>
      <c r="J2" s="12" t="s">
        <v>189</v>
      </c>
      <c r="K2" s="12">
        <v>19852</v>
      </c>
      <c r="L2" s="12" t="s">
        <v>190</v>
      </c>
      <c r="M2" s="12" t="s">
        <v>191</v>
      </c>
      <c r="N2" s="12" t="s">
        <v>174</v>
      </c>
      <c r="O2" s="12" t="s">
        <v>50</v>
      </c>
      <c r="P2" s="12" t="s">
        <v>51</v>
      </c>
      <c r="Q2" s="12" t="s">
        <v>112</v>
      </c>
      <c r="R2" s="12" t="s">
        <v>53</v>
      </c>
      <c r="S2" s="12">
        <v>12</v>
      </c>
      <c r="T2" s="12">
        <v>9.89</v>
      </c>
      <c r="U2" s="12">
        <v>118.68</v>
      </c>
      <c r="V2" s="12">
        <v>0</v>
      </c>
      <c r="W2" s="12">
        <v>1.1599999999999999</v>
      </c>
      <c r="X2" s="12">
        <v>0</v>
      </c>
      <c r="Y2" s="12">
        <v>0</v>
      </c>
      <c r="Z2" s="12">
        <v>0</v>
      </c>
      <c r="AA2" s="12">
        <v>0</v>
      </c>
      <c r="AB2" s="12">
        <v>0</v>
      </c>
      <c r="AC2" s="12">
        <v>15.39</v>
      </c>
      <c r="AD2" s="12">
        <v>0</v>
      </c>
      <c r="AE2" s="12">
        <f>U2+W2</f>
        <v>119.84</v>
      </c>
      <c r="AF2" s="12">
        <v>4</v>
      </c>
      <c r="AG2" s="15">
        <f>AE2*AF2%</f>
        <v>4.7936000000000005</v>
      </c>
      <c r="AH2" s="18">
        <v>7.3789999999999996</v>
      </c>
      <c r="AI2" s="12">
        <f>((AH2/(1-0.3)*S2)+W2)*0.04</f>
        <v>5.1062857142857148</v>
      </c>
      <c r="AJ2" s="18">
        <f>MAX(AI2,AG2)</f>
        <v>5.1062857142857148</v>
      </c>
      <c r="AK2" s="12" t="s">
        <v>192</v>
      </c>
      <c r="AL2" s="12" t="s">
        <v>55</v>
      </c>
    </row>
    <row r="3" spans="1:38" s="11" customFormat="1">
      <c r="A3" s="12" t="s">
        <v>185</v>
      </c>
      <c r="B3" s="12" t="s">
        <v>103</v>
      </c>
      <c r="C3" s="12" t="s">
        <v>104</v>
      </c>
      <c r="D3" s="13">
        <v>45383</v>
      </c>
      <c r="E3" s="13">
        <v>45383</v>
      </c>
      <c r="F3" s="12">
        <v>302554</v>
      </c>
      <c r="G3" s="12" t="s">
        <v>186</v>
      </c>
      <c r="H3" s="12" t="s">
        <v>187</v>
      </c>
      <c r="I3" s="12" t="s">
        <v>188</v>
      </c>
      <c r="J3" s="12" t="s">
        <v>189</v>
      </c>
      <c r="K3" s="12">
        <v>28614</v>
      </c>
      <c r="L3" s="12" t="s">
        <v>193</v>
      </c>
      <c r="M3" s="12" t="s">
        <v>194</v>
      </c>
      <c r="N3" s="12" t="s">
        <v>127</v>
      </c>
      <c r="O3" s="12" t="s">
        <v>63</v>
      </c>
      <c r="P3" s="12" t="s">
        <v>51</v>
      </c>
      <c r="Q3" s="12" t="s">
        <v>112</v>
      </c>
      <c r="R3" s="12" t="s">
        <v>86</v>
      </c>
      <c r="S3" s="12">
        <v>6</v>
      </c>
      <c r="T3" s="12">
        <v>21.31</v>
      </c>
      <c r="U3" s="12">
        <v>127.86</v>
      </c>
      <c r="V3" s="12">
        <v>0</v>
      </c>
      <c r="W3" s="12">
        <v>1.26</v>
      </c>
      <c r="X3" s="12">
        <v>0</v>
      </c>
      <c r="Y3" s="12">
        <v>0</v>
      </c>
      <c r="Z3" s="12">
        <v>0</v>
      </c>
      <c r="AA3" s="12">
        <v>0</v>
      </c>
      <c r="AB3" s="12">
        <v>0</v>
      </c>
      <c r="AC3" s="12">
        <v>63.85</v>
      </c>
      <c r="AD3" s="12">
        <v>0</v>
      </c>
      <c r="AE3" s="12">
        <f>U3+W3</f>
        <v>129.12</v>
      </c>
      <c r="AF3" s="12">
        <v>4</v>
      </c>
      <c r="AG3" s="15">
        <f>AE3*AF3%</f>
        <v>5.1648000000000005</v>
      </c>
      <c r="AH3" s="18">
        <v>17.39</v>
      </c>
      <c r="AI3" s="12">
        <f>((AH3/(1-0.3)*S3)+W3)*0.04</f>
        <v>6.0126857142857153</v>
      </c>
      <c r="AJ3" s="18">
        <f>MAX(AI3,AG3)</f>
        <v>6.0126857142857153</v>
      </c>
      <c r="AK3" s="12" t="s">
        <v>96</v>
      </c>
      <c r="AL3" s="12" t="s">
        <v>97</v>
      </c>
    </row>
    <row r="4" spans="1:38" s="11" customFormat="1">
      <c r="A4" s="12" t="s">
        <v>185</v>
      </c>
      <c r="B4" s="12" t="s">
        <v>103</v>
      </c>
      <c r="C4" s="12" t="s">
        <v>104</v>
      </c>
      <c r="D4" s="13">
        <v>45383</v>
      </c>
      <c r="E4" s="13">
        <v>45383</v>
      </c>
      <c r="F4" s="12">
        <v>302554</v>
      </c>
      <c r="G4" s="12" t="s">
        <v>186</v>
      </c>
      <c r="H4" s="12" t="s">
        <v>187</v>
      </c>
      <c r="I4" s="12" t="s">
        <v>188</v>
      </c>
      <c r="J4" s="12" t="s">
        <v>189</v>
      </c>
      <c r="K4" s="12">
        <v>188263</v>
      </c>
      <c r="L4" s="12" t="s">
        <v>195</v>
      </c>
      <c r="M4" s="12" t="s">
        <v>196</v>
      </c>
      <c r="N4" s="12" t="s">
        <v>174</v>
      </c>
      <c r="O4" s="12" t="s">
        <v>50</v>
      </c>
      <c r="P4" s="12" t="s">
        <v>51</v>
      </c>
      <c r="Q4" s="12" t="s">
        <v>112</v>
      </c>
      <c r="R4" s="12" t="s">
        <v>86</v>
      </c>
      <c r="S4" s="12">
        <v>4</v>
      </c>
      <c r="T4" s="12">
        <v>14.46</v>
      </c>
      <c r="U4" s="12">
        <v>57.84</v>
      </c>
      <c r="V4" s="12">
        <v>0</v>
      </c>
      <c r="W4" s="12">
        <v>0.56999999999999995</v>
      </c>
      <c r="X4" s="12">
        <v>0</v>
      </c>
      <c r="Y4" s="12">
        <v>0</v>
      </c>
      <c r="Z4" s="12">
        <v>0</v>
      </c>
      <c r="AA4" s="12">
        <v>0</v>
      </c>
      <c r="AB4" s="12">
        <v>0</v>
      </c>
      <c r="AC4" s="12">
        <v>48.12</v>
      </c>
      <c r="AD4" s="12">
        <v>0</v>
      </c>
      <c r="AE4" s="12">
        <f>U4+W4</f>
        <v>58.410000000000004</v>
      </c>
      <c r="AF4" s="12">
        <v>4</v>
      </c>
      <c r="AG4" s="15">
        <f>AE4*AF4%</f>
        <v>2.3364000000000003</v>
      </c>
      <c r="AH4" s="18">
        <v>11.8</v>
      </c>
      <c r="AI4" s="12">
        <f>((AH4/(1-0.3)*S4)+W4)*0.04</f>
        <v>2.7199428571428572</v>
      </c>
      <c r="AJ4" s="18">
        <f>MAX(AI4,AG4)</f>
        <v>2.7199428571428572</v>
      </c>
      <c r="AK4" s="12" t="s">
        <v>197</v>
      </c>
      <c r="AL4" s="12" t="s">
        <v>89</v>
      </c>
    </row>
    <row r="5" spans="1:38">
      <c r="AJ5" s="19">
        <f>SUM(AJ2:AJ4)</f>
        <v>13.838914285714289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"/>
  <sheetViews>
    <sheetView tabSelected="1" topLeftCell="AH1" zoomScale="90" zoomScaleNormal="90" workbookViewId="0">
      <selection activeCell="AN4" sqref="AN4"/>
    </sheetView>
  </sheetViews>
  <sheetFormatPr defaultRowHeight="14"/>
  <cols>
    <col min="1" max="1" width="12.58203125" bestFit="1" customWidth="1"/>
    <col min="2" max="2" width="9.08203125" bestFit="1" customWidth="1"/>
    <col min="3" max="3" width="8.4140625" bestFit="1" customWidth="1"/>
    <col min="4" max="4" width="14.6640625" bestFit="1" customWidth="1"/>
    <col min="5" max="5" width="14.1640625" bestFit="1" customWidth="1"/>
    <col min="6" max="6" width="13.1640625" bestFit="1" customWidth="1"/>
    <col min="7" max="7" width="33.5" bestFit="1" customWidth="1"/>
    <col min="8" max="8" width="16.5" bestFit="1" customWidth="1"/>
    <col min="9" max="9" width="3.6640625" bestFit="1" customWidth="1"/>
    <col min="10" max="10" width="46" bestFit="1" customWidth="1"/>
    <col min="11" max="11" width="12.58203125" bestFit="1" customWidth="1"/>
    <col min="12" max="12" width="37.5" bestFit="1" customWidth="1"/>
    <col min="13" max="13" width="14.08203125" bestFit="1" customWidth="1"/>
    <col min="14" max="14" width="9.58203125" bestFit="1" customWidth="1"/>
    <col min="15" max="15" width="11.1640625" bestFit="1" customWidth="1"/>
    <col min="16" max="16" width="13.5" bestFit="1" customWidth="1"/>
    <col min="17" max="17" width="5.58203125" bestFit="1" customWidth="1"/>
    <col min="18" max="18" width="8.5" bestFit="1" customWidth="1"/>
    <col min="19" max="19" width="10.6640625" bestFit="1" customWidth="1"/>
    <col min="20" max="20" width="12.4140625" bestFit="1" customWidth="1"/>
    <col min="21" max="21" width="13.58203125" customWidth="1"/>
    <col min="22" max="22" width="14.58203125" bestFit="1" customWidth="1"/>
    <col min="23" max="23" width="3.1640625" bestFit="1" customWidth="1"/>
    <col min="24" max="24" width="5.08203125" bestFit="1" customWidth="1"/>
    <col min="25" max="25" width="11.08203125" customWidth="1"/>
    <col min="26" max="26" width="5.4140625" bestFit="1" customWidth="1"/>
    <col min="27" max="27" width="19" bestFit="1" customWidth="1"/>
    <col min="28" max="29" width="15.1640625" bestFit="1" customWidth="1"/>
    <col min="30" max="30" width="10" bestFit="1" customWidth="1"/>
    <col min="31" max="31" width="7" bestFit="1" customWidth="1"/>
    <col min="32" max="32" width="4.58203125" bestFit="1" customWidth="1"/>
    <col min="33" max="33" width="23" bestFit="1" customWidth="1"/>
    <col min="34" max="34" width="18" bestFit="1" customWidth="1"/>
    <col min="35" max="35" width="25.5" customWidth="1"/>
    <col min="36" max="36" width="18.58203125" bestFit="1" customWidth="1"/>
    <col min="37" max="37" width="22.5" customWidth="1"/>
    <col min="38" max="38" width="15.08203125" bestFit="1" customWidth="1"/>
    <col min="39" max="39" width="15.6640625" bestFit="1" customWidth="1"/>
    <col min="40" max="40" width="19" bestFit="1" customWidth="1"/>
    <col min="41" max="41" width="19.5" bestFit="1" customWidth="1"/>
    <col min="42" max="42" width="9.08203125" bestFit="1" customWidth="1"/>
    <col min="43" max="43" width="5.58203125" bestFit="1" customWidth="1"/>
  </cols>
  <sheetData>
    <row r="1" spans="1:43" s="16" customFormat="1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165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31" t="s">
        <v>34</v>
      </c>
      <c r="AH1" s="31" t="s">
        <v>35</v>
      </c>
      <c r="AI1" s="31" t="s">
        <v>166</v>
      </c>
      <c r="AJ1" s="32" t="s">
        <v>198</v>
      </c>
      <c r="AK1" s="32" t="s">
        <v>199</v>
      </c>
      <c r="AL1" s="33" t="s">
        <v>200</v>
      </c>
      <c r="AM1" s="5" t="s">
        <v>201</v>
      </c>
      <c r="AN1" s="5" t="s">
        <v>202</v>
      </c>
      <c r="AO1" s="5" t="s">
        <v>37</v>
      </c>
      <c r="AP1" s="5" t="s">
        <v>38</v>
      </c>
      <c r="AQ1" s="5" t="s">
        <v>39</v>
      </c>
    </row>
    <row r="2" spans="1:43" s="16" customFormat="1">
      <c r="A2" s="3" t="s">
        <v>203</v>
      </c>
      <c r="B2" s="3" t="s">
        <v>41</v>
      </c>
      <c r="C2" s="3" t="s">
        <v>42</v>
      </c>
      <c r="D2" s="4">
        <v>45342</v>
      </c>
      <c r="E2" s="4">
        <v>45407</v>
      </c>
      <c r="F2" s="3">
        <v>14699</v>
      </c>
      <c r="G2" s="3" t="s">
        <v>204</v>
      </c>
      <c r="H2" s="3" t="s">
        <v>205</v>
      </c>
      <c r="I2" s="3" t="s">
        <v>170</v>
      </c>
      <c r="J2" s="3" t="s">
        <v>206</v>
      </c>
      <c r="K2" s="3">
        <v>5495</v>
      </c>
      <c r="L2" s="3" t="s">
        <v>207</v>
      </c>
      <c r="M2" s="3" t="s">
        <v>208</v>
      </c>
      <c r="N2" s="3" t="s">
        <v>209</v>
      </c>
      <c r="O2" s="3" t="s">
        <v>50</v>
      </c>
      <c r="P2" s="3" t="s">
        <v>51</v>
      </c>
      <c r="Q2" s="3" t="s">
        <v>52</v>
      </c>
      <c r="R2" s="3" t="s">
        <v>86</v>
      </c>
      <c r="S2" s="3">
        <v>100</v>
      </c>
      <c r="T2" s="3">
        <v>2.8334000000000001</v>
      </c>
      <c r="U2" s="3">
        <v>283.33999999999997</v>
      </c>
      <c r="V2" s="3">
        <v>297</v>
      </c>
      <c r="W2" s="3">
        <v>0</v>
      </c>
      <c r="X2" s="3">
        <v>0</v>
      </c>
      <c r="Y2" s="3">
        <v>0</v>
      </c>
      <c r="Z2" s="3">
        <v>0</v>
      </c>
      <c r="AA2" s="3">
        <v>283.33999999999997</v>
      </c>
      <c r="AB2" s="3">
        <v>7</v>
      </c>
      <c r="AC2" s="3">
        <v>0</v>
      </c>
      <c r="AD2" s="3">
        <v>19.8338</v>
      </c>
      <c r="AE2" s="3">
        <v>22.06</v>
      </c>
      <c r="AF2" s="3">
        <v>0</v>
      </c>
      <c r="AG2" s="3">
        <f>U2</f>
        <v>283.33999999999997</v>
      </c>
      <c r="AH2" s="3">
        <v>7</v>
      </c>
      <c r="AI2" s="3">
        <f>AG2*AH2%</f>
        <v>19.8338</v>
      </c>
      <c r="AJ2" s="3">
        <f>U2+Y2+((U2+Y2)*30%)</f>
        <v>368.34199999999998</v>
      </c>
      <c r="AK2" s="3">
        <f>AJ2*20%-AD2</f>
        <v>53.834600000000009</v>
      </c>
      <c r="AL2" s="3">
        <f>AJ2*4%</f>
        <v>14.73368</v>
      </c>
      <c r="AM2" s="3">
        <f>AK2-AL2-AI2</f>
        <v>19.267120000000009</v>
      </c>
      <c r="AN2" s="3">
        <f>AM2*10%</f>
        <v>1.9267120000000011</v>
      </c>
      <c r="AO2" s="3" t="s">
        <v>197</v>
      </c>
      <c r="AP2" s="3" t="s">
        <v>89</v>
      </c>
      <c r="AQ2" s="3">
        <v>0</v>
      </c>
    </row>
    <row r="3" spans="1:43" s="16" customFormat="1">
      <c r="A3" s="3" t="s">
        <v>203</v>
      </c>
      <c r="B3" s="3" t="s">
        <v>41</v>
      </c>
      <c r="C3" s="3" t="s">
        <v>42</v>
      </c>
      <c r="D3" s="4">
        <v>45342</v>
      </c>
      <c r="E3" s="4">
        <v>45407</v>
      </c>
      <c r="F3" s="3">
        <v>14699</v>
      </c>
      <c r="G3" s="3" t="s">
        <v>204</v>
      </c>
      <c r="H3" s="3" t="s">
        <v>205</v>
      </c>
      <c r="I3" s="3" t="s">
        <v>170</v>
      </c>
      <c r="J3" s="3" t="s">
        <v>206</v>
      </c>
      <c r="K3" s="3">
        <v>35980</v>
      </c>
      <c r="L3" s="3" t="s">
        <v>210</v>
      </c>
      <c r="M3" s="3" t="s">
        <v>211</v>
      </c>
      <c r="N3" s="3" t="s">
        <v>212</v>
      </c>
      <c r="O3" s="3" t="s">
        <v>50</v>
      </c>
      <c r="P3" s="3" t="s">
        <v>51</v>
      </c>
      <c r="Q3" s="3" t="s">
        <v>52</v>
      </c>
      <c r="R3" s="3" t="s">
        <v>86</v>
      </c>
      <c r="S3" s="3">
        <v>50</v>
      </c>
      <c r="T3" s="3">
        <v>24.571200000000001</v>
      </c>
      <c r="U3" s="3">
        <v>1228.56</v>
      </c>
      <c r="V3" s="3">
        <v>1290.5</v>
      </c>
      <c r="W3" s="3">
        <v>0</v>
      </c>
      <c r="X3" s="3">
        <v>0</v>
      </c>
      <c r="Y3" s="3">
        <v>0</v>
      </c>
      <c r="Z3" s="3">
        <v>0</v>
      </c>
      <c r="AA3" s="3">
        <v>1228.56</v>
      </c>
      <c r="AB3" s="3">
        <v>7</v>
      </c>
      <c r="AC3" s="3">
        <v>0</v>
      </c>
      <c r="AD3" s="3">
        <v>85.999200000000002</v>
      </c>
      <c r="AE3" s="3">
        <v>177.78</v>
      </c>
      <c r="AF3" s="3">
        <v>0</v>
      </c>
      <c r="AG3" s="3">
        <f>U3</f>
        <v>1228.56</v>
      </c>
      <c r="AH3" s="3">
        <v>7</v>
      </c>
      <c r="AI3" s="3">
        <f>AG3*AH3%</f>
        <v>85.999200000000002</v>
      </c>
      <c r="AJ3" s="3">
        <f>U3+Y3+((U3+Y3)*30%)</f>
        <v>1597.1279999999999</v>
      </c>
      <c r="AK3" s="3">
        <f>AJ3*20%-AD3</f>
        <v>233.42640000000003</v>
      </c>
      <c r="AL3" s="3">
        <f>AJ3*4%</f>
        <v>63.885120000000001</v>
      </c>
      <c r="AM3" s="3">
        <f>AK3-AL3-AI3</f>
        <v>83.542080000000027</v>
      </c>
      <c r="AN3" s="3">
        <f>AM3*10%</f>
        <v>8.3542080000000034</v>
      </c>
      <c r="AO3" s="3" t="s">
        <v>197</v>
      </c>
      <c r="AP3" s="3" t="s">
        <v>89</v>
      </c>
      <c r="AQ3" s="3">
        <v>0</v>
      </c>
    </row>
    <row r="4" spans="1:43" s="16" customFormat="1">
      <c r="A4" s="3" t="s">
        <v>203</v>
      </c>
      <c r="B4" s="3" t="s">
        <v>41</v>
      </c>
      <c r="C4" s="3" t="s">
        <v>42</v>
      </c>
      <c r="D4" s="4">
        <v>45342</v>
      </c>
      <c r="E4" s="4">
        <v>45407</v>
      </c>
      <c r="F4" s="3">
        <v>14699</v>
      </c>
      <c r="G4" s="3" t="s">
        <v>204</v>
      </c>
      <c r="H4" s="3" t="s">
        <v>205</v>
      </c>
      <c r="I4" s="3" t="s">
        <v>170</v>
      </c>
      <c r="J4" s="3" t="s">
        <v>206</v>
      </c>
      <c r="K4" s="3">
        <v>43729</v>
      </c>
      <c r="L4" s="3" t="s">
        <v>213</v>
      </c>
      <c r="M4" s="3" t="s">
        <v>214</v>
      </c>
      <c r="N4" s="3" t="s">
        <v>127</v>
      </c>
      <c r="O4" s="3" t="s">
        <v>63</v>
      </c>
      <c r="P4" s="3" t="s">
        <v>51</v>
      </c>
      <c r="Q4" s="3" t="s">
        <v>52</v>
      </c>
      <c r="R4" s="3" t="s">
        <v>86</v>
      </c>
      <c r="S4" s="3">
        <v>540</v>
      </c>
      <c r="T4" s="3">
        <v>2.3895</v>
      </c>
      <c r="U4" s="3">
        <v>1290.3399999999999</v>
      </c>
      <c r="V4" s="3">
        <v>1355.4</v>
      </c>
      <c r="W4" s="3">
        <v>0</v>
      </c>
      <c r="X4" s="3">
        <v>0</v>
      </c>
      <c r="Y4" s="3">
        <v>0</v>
      </c>
      <c r="Z4" s="3">
        <v>0</v>
      </c>
      <c r="AA4" s="3">
        <v>1169.82</v>
      </c>
      <c r="AB4" s="3">
        <v>7</v>
      </c>
      <c r="AC4" s="3">
        <v>9.34</v>
      </c>
      <c r="AD4" s="3">
        <v>81.887557000000001</v>
      </c>
      <c r="AE4" s="3">
        <v>16.350000000000001</v>
      </c>
      <c r="AF4" s="3">
        <v>0</v>
      </c>
      <c r="AG4" s="3">
        <f>U4</f>
        <v>1290.3399999999999</v>
      </c>
      <c r="AH4" s="3">
        <v>7</v>
      </c>
      <c r="AI4" s="3">
        <f>AG4*AH4%</f>
        <v>90.323800000000006</v>
      </c>
      <c r="AJ4" s="3">
        <f>U4+Y4+((U4+Y4)*30%)</f>
        <v>1677.442</v>
      </c>
      <c r="AK4" s="3">
        <f>AJ4*20%-AD4</f>
        <v>253.600843</v>
      </c>
      <c r="AL4" s="3">
        <f>AJ4*4%</f>
        <v>67.097679999999997</v>
      </c>
      <c r="AM4" s="3">
        <f>AK4-AL4-AI4</f>
        <v>96.179362999999995</v>
      </c>
      <c r="AN4" s="3">
        <f>AM4*10%</f>
        <v>9.6179363000000002</v>
      </c>
      <c r="AO4" s="3" t="s">
        <v>215</v>
      </c>
      <c r="AP4" s="3" t="s">
        <v>97</v>
      </c>
      <c r="AQ4" s="3">
        <v>0</v>
      </c>
    </row>
    <row r="6" spans="1:43" s="34" customFormat="1">
      <c r="AB6" s="34" t="s">
        <v>245</v>
      </c>
      <c r="AH6" s="34" t="s">
        <v>244</v>
      </c>
      <c r="AI6" s="34" t="s">
        <v>253</v>
      </c>
      <c r="AJ6" s="34" t="s">
        <v>247</v>
      </c>
      <c r="AK6" s="34" t="s">
        <v>246</v>
      </c>
      <c r="AL6" s="34" t="s">
        <v>248</v>
      </c>
      <c r="AM6" s="34" t="s">
        <v>252</v>
      </c>
      <c r="AN6" s="34" t="s">
        <v>249</v>
      </c>
    </row>
    <row r="7" spans="1:43">
      <c r="AN7" t="s">
        <v>250</v>
      </c>
    </row>
    <row r="8" spans="1:43">
      <c r="AN8" t="s">
        <v>251</v>
      </c>
    </row>
    <row r="10" spans="1:43">
      <c r="AG10" t="s">
        <v>240</v>
      </c>
    </row>
    <row r="11" spans="1:43">
      <c r="AG11" t="s">
        <v>241</v>
      </c>
    </row>
    <row r="12" spans="1:43">
      <c r="J12" t="s">
        <v>239</v>
      </c>
    </row>
    <row r="14" spans="1:43">
      <c r="AG14" t="s">
        <v>242</v>
      </c>
    </row>
    <row r="15" spans="1:43">
      <c r="D15" t="s">
        <v>238</v>
      </c>
      <c r="AG15" t="s">
        <v>243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Entrada BA</vt:lpstr>
      <vt:lpstr>Entrada PB</vt:lpstr>
      <vt:lpstr>Entrada MG</vt:lpstr>
      <vt:lpstr>Entrada PE I</vt:lpstr>
      <vt:lpstr>Saída PE</vt:lpstr>
      <vt:lpstr>Saída PE II</vt:lpstr>
      <vt:lpstr>Saída PB</vt:lpstr>
      <vt:lpstr>FEEF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MG_Carolina_Carmo</dc:creator>
  <cp:lastModifiedBy>Adriana Dias dos Santos</cp:lastModifiedBy>
  <dcterms:created xsi:type="dcterms:W3CDTF">2024-05-06T19:57:55Z</dcterms:created>
  <dcterms:modified xsi:type="dcterms:W3CDTF">2025-02-06T16:48:59Z</dcterms:modified>
</cp:coreProperties>
</file>